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s del Escritorio 20-03-2023\HD Consultores informacion Website\formatos\"/>
    </mc:Choice>
  </mc:AlternateContent>
  <xr:revisionPtr revIDLastSave="0" documentId="13_ncr:1_{206C975C-7A51-4D17-8790-E468E66495F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álculo depreciacion 2014 " sheetId="1" state="hidden" r:id="rId1"/>
    <sheet name="Cálculo depreciacion" sheetId="4" r:id="rId2"/>
  </sheets>
  <definedNames>
    <definedName name="_xlnm.Print_Area" localSheetId="1">'Cálculo depreciacion'!$A$1:$N$32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4" l="1"/>
  <c r="M10" i="4"/>
  <c r="G13" i="4"/>
  <c r="G12" i="4"/>
  <c r="G11" i="4"/>
  <c r="G10" i="4"/>
  <c r="I24" i="4"/>
  <c r="L24" i="4" s="1"/>
  <c r="I23" i="4"/>
  <c r="L23" i="4" s="1"/>
  <c r="I22" i="4"/>
  <c r="L22" i="4" s="1"/>
  <c r="I21" i="4"/>
  <c r="L21" i="4" s="1"/>
  <c r="L20" i="4"/>
  <c r="I20" i="4"/>
  <c r="L19" i="4"/>
  <c r="I19" i="4"/>
  <c r="I18" i="4"/>
  <c r="L18" i="4" s="1"/>
  <c r="K17" i="4"/>
  <c r="M17" i="4" s="1"/>
  <c r="I17" i="4"/>
  <c r="L17" i="4" s="1"/>
  <c r="L16" i="4"/>
  <c r="K16" i="4"/>
  <c r="M16" i="4" s="1"/>
  <c r="I16" i="4"/>
  <c r="I15" i="4"/>
  <c r="L15" i="4" s="1"/>
  <c r="K14" i="4"/>
  <c r="M14" i="4" s="1"/>
  <c r="I14" i="4"/>
  <c r="L14" i="4" s="1"/>
  <c r="G24" i="4"/>
  <c r="K24" i="4" s="1"/>
  <c r="M24" i="4" s="1"/>
  <c r="G23" i="4"/>
  <c r="K23" i="4" s="1"/>
  <c r="M23" i="4" s="1"/>
  <c r="G22" i="4"/>
  <c r="K22" i="4" s="1"/>
  <c r="M22" i="4" s="1"/>
  <c r="G21" i="4"/>
  <c r="K21" i="4" s="1"/>
  <c r="M21" i="4" s="1"/>
  <c r="G20" i="4"/>
  <c r="K20" i="4" s="1"/>
  <c r="M20" i="4" s="1"/>
  <c r="G19" i="4"/>
  <c r="K19" i="4" s="1"/>
  <c r="M19" i="4" s="1"/>
  <c r="G18" i="4"/>
  <c r="K18" i="4" s="1"/>
  <c r="M18" i="4" s="1"/>
  <c r="G17" i="4"/>
  <c r="G16" i="4"/>
  <c r="G15" i="4"/>
  <c r="K15" i="4" s="1"/>
  <c r="M15" i="4" s="1"/>
  <c r="G14" i="4"/>
  <c r="J16" i="4" l="1"/>
  <c r="N16" i="4" s="1"/>
  <c r="J19" i="4"/>
  <c r="N19" i="4"/>
  <c r="J20" i="4"/>
  <c r="N20" i="4" s="1"/>
  <c r="J15" i="4"/>
  <c r="N15" i="4" s="1"/>
  <c r="J24" i="4"/>
  <c r="N24" i="4" s="1"/>
  <c r="J23" i="4"/>
  <c r="N23" i="4" s="1"/>
  <c r="J14" i="4"/>
  <c r="N14" i="4" s="1"/>
  <c r="J18" i="4"/>
  <c r="N18" i="4" s="1"/>
  <c r="J22" i="4"/>
  <c r="N22" i="4" s="1"/>
  <c r="J17" i="4"/>
  <c r="N17" i="4" s="1"/>
  <c r="J21" i="4"/>
  <c r="N21" i="4" s="1"/>
  <c r="I13" i="4" l="1"/>
  <c r="I12" i="4"/>
  <c r="I11" i="4"/>
  <c r="I10" i="4"/>
  <c r="L10" i="4" s="1"/>
  <c r="C29" i="4"/>
  <c r="K10" i="4"/>
  <c r="L13" i="4" l="1"/>
  <c r="K13" i="4"/>
  <c r="J13" i="4" s="1"/>
  <c r="L12" i="4"/>
  <c r="U11" i="4"/>
  <c r="V11" i="4" s="1"/>
  <c r="O11" i="4"/>
  <c r="S11" i="4" s="1"/>
  <c r="R11" i="4" s="1"/>
  <c r="L11" i="4"/>
  <c r="K11" i="4"/>
  <c r="M11" i="4" s="1"/>
  <c r="O10" i="4"/>
  <c r="S10" i="4" s="1"/>
  <c r="R10" i="4" s="1"/>
  <c r="C31" i="4"/>
  <c r="K12" i="4" l="1"/>
  <c r="J12" i="4" s="1"/>
  <c r="N12" i="4" s="1"/>
  <c r="J11" i="4"/>
  <c r="N11" i="4" s="1"/>
  <c r="J10" i="4"/>
  <c r="W11" i="4"/>
  <c r="N13" i="4"/>
  <c r="U10" i="4"/>
  <c r="V10" i="4" s="1"/>
  <c r="M13" i="4"/>
  <c r="M12" i="4"/>
  <c r="X11" i="4" l="1"/>
  <c r="L29" i="4"/>
  <c r="V29" i="4"/>
  <c r="W10" i="4"/>
  <c r="M29" i="4"/>
  <c r="M65" i="1"/>
  <c r="C65" i="1"/>
  <c r="V65" i="1"/>
  <c r="F48" i="1"/>
  <c r="C58" i="1"/>
  <c r="T57" i="1"/>
  <c r="P57" i="1"/>
  <c r="N57" i="1" s="1"/>
  <c r="R57" i="1" s="1"/>
  <c r="I57" i="1"/>
  <c r="G57" i="1"/>
  <c r="K57" i="1" s="1"/>
  <c r="J57" i="1" s="1"/>
  <c r="F57" i="1"/>
  <c r="T56" i="1"/>
  <c r="P56" i="1"/>
  <c r="N56" i="1" s="1"/>
  <c r="R56" i="1" s="1"/>
  <c r="I56" i="1"/>
  <c r="L56" i="1" s="1"/>
  <c r="G56" i="1"/>
  <c r="K56" i="1" s="1"/>
  <c r="J56" i="1" s="1"/>
  <c r="C49" i="1"/>
  <c r="C51" i="1" s="1"/>
  <c r="T48" i="1"/>
  <c r="P48" i="1"/>
  <c r="N48" i="1" s="1"/>
  <c r="R48" i="1" s="1"/>
  <c r="I48" i="1"/>
  <c r="G48" i="1"/>
  <c r="K48" i="1" s="1"/>
  <c r="J48" i="1" s="1"/>
  <c r="C42" i="1"/>
  <c r="C44" i="1" s="1"/>
  <c r="T41" i="1"/>
  <c r="P41" i="1"/>
  <c r="N41" i="1" s="1"/>
  <c r="R41" i="1" s="1"/>
  <c r="I41" i="1"/>
  <c r="L41" i="1" s="1"/>
  <c r="G41" i="1"/>
  <c r="K41" i="1" s="1"/>
  <c r="T40" i="1"/>
  <c r="P40" i="1"/>
  <c r="N40" i="1"/>
  <c r="R40" i="1" s="1"/>
  <c r="I40" i="1"/>
  <c r="G40" i="1"/>
  <c r="K40" i="1" s="1"/>
  <c r="J40" i="1" s="1"/>
  <c r="T33" i="1"/>
  <c r="U33" i="1" s="1"/>
  <c r="N33" i="1"/>
  <c r="R33" i="1" s="1"/>
  <c r="Q33" i="1" s="1"/>
  <c r="I33" i="1"/>
  <c r="G33" i="1"/>
  <c r="K33" i="1" s="1"/>
  <c r="J33" i="1" s="1"/>
  <c r="F33" i="1"/>
  <c r="T32" i="1"/>
  <c r="U32" i="1" s="1"/>
  <c r="N32" i="1"/>
  <c r="R32" i="1" s="1"/>
  <c r="Q32" i="1" s="1"/>
  <c r="I32" i="1"/>
  <c r="G32" i="1"/>
  <c r="K32" i="1" s="1"/>
  <c r="F32" i="1"/>
  <c r="T31" i="1"/>
  <c r="U31" i="1" s="1"/>
  <c r="N31" i="1"/>
  <c r="R31" i="1" s="1"/>
  <c r="Q31" i="1" s="1"/>
  <c r="I31" i="1"/>
  <c r="G31" i="1"/>
  <c r="K31" i="1" s="1"/>
  <c r="J31" i="1" s="1"/>
  <c r="F31" i="1"/>
  <c r="L31" i="1" s="1"/>
  <c r="N30" i="1"/>
  <c r="R30" i="1" s="1"/>
  <c r="Q30" i="1" s="1"/>
  <c r="I30" i="1"/>
  <c r="G30" i="1"/>
  <c r="K30" i="1" s="1"/>
  <c r="C30" i="1"/>
  <c r="T30" i="1" s="1"/>
  <c r="U30" i="1" s="1"/>
  <c r="T29" i="1"/>
  <c r="U29" i="1" s="1"/>
  <c r="N29" i="1"/>
  <c r="R29" i="1" s="1"/>
  <c r="Q29" i="1" s="1"/>
  <c r="I29" i="1"/>
  <c r="G29" i="1"/>
  <c r="K29" i="1" s="1"/>
  <c r="F29" i="1"/>
  <c r="T28" i="1"/>
  <c r="U28" i="1" s="1"/>
  <c r="N28" i="1"/>
  <c r="R28" i="1" s="1"/>
  <c r="Q28" i="1" s="1"/>
  <c r="I28" i="1"/>
  <c r="G28" i="1"/>
  <c r="K28" i="1" s="1"/>
  <c r="J28" i="1" s="1"/>
  <c r="F28" i="1"/>
  <c r="L28" i="1" s="1"/>
  <c r="T27" i="1"/>
  <c r="U27" i="1" s="1"/>
  <c r="N27" i="1"/>
  <c r="R27" i="1" s="1"/>
  <c r="Q27" i="1" s="1"/>
  <c r="I27" i="1"/>
  <c r="G27" i="1"/>
  <c r="K27" i="1" s="1"/>
  <c r="F27" i="1"/>
  <c r="T26" i="1"/>
  <c r="U26" i="1" s="1"/>
  <c r="N26" i="1"/>
  <c r="R26" i="1" s="1"/>
  <c r="Q26" i="1" s="1"/>
  <c r="I26" i="1"/>
  <c r="G26" i="1"/>
  <c r="K26" i="1" s="1"/>
  <c r="F26" i="1"/>
  <c r="T25" i="1"/>
  <c r="U25" i="1" s="1"/>
  <c r="N25" i="1"/>
  <c r="R25" i="1" s="1"/>
  <c r="Q25" i="1" s="1"/>
  <c r="I25" i="1"/>
  <c r="G25" i="1"/>
  <c r="K25" i="1" s="1"/>
  <c r="F25" i="1"/>
  <c r="L25" i="1" s="1"/>
  <c r="T24" i="1"/>
  <c r="U24" i="1" s="1"/>
  <c r="N24" i="1"/>
  <c r="R24" i="1" s="1"/>
  <c r="Q24" i="1" s="1"/>
  <c r="I24" i="1"/>
  <c r="G24" i="1"/>
  <c r="K24" i="1" s="1"/>
  <c r="F24" i="1"/>
  <c r="L24" i="1" s="1"/>
  <c r="T23" i="1"/>
  <c r="U23" i="1" s="1"/>
  <c r="N23" i="1"/>
  <c r="R23" i="1" s="1"/>
  <c r="Q23" i="1" s="1"/>
  <c r="I23" i="1"/>
  <c r="G23" i="1"/>
  <c r="K23" i="1" s="1"/>
  <c r="F23" i="1"/>
  <c r="T22" i="1"/>
  <c r="U22" i="1" s="1"/>
  <c r="N22" i="1"/>
  <c r="R22" i="1" s="1"/>
  <c r="Q22" i="1" s="1"/>
  <c r="I22" i="1"/>
  <c r="G22" i="1"/>
  <c r="K22" i="1" s="1"/>
  <c r="F22" i="1"/>
  <c r="T21" i="1"/>
  <c r="U21" i="1" s="1"/>
  <c r="N21" i="1"/>
  <c r="R21" i="1" s="1"/>
  <c r="Q21" i="1" s="1"/>
  <c r="I21" i="1"/>
  <c r="G21" i="1"/>
  <c r="K21" i="1" s="1"/>
  <c r="F21" i="1"/>
  <c r="T20" i="1"/>
  <c r="U20" i="1" s="1"/>
  <c r="N20" i="1"/>
  <c r="R20" i="1" s="1"/>
  <c r="Q20" i="1" s="1"/>
  <c r="I20" i="1"/>
  <c r="G20" i="1"/>
  <c r="K20" i="1" s="1"/>
  <c r="J20" i="1" s="1"/>
  <c r="F20" i="1"/>
  <c r="L20" i="1" s="1"/>
  <c r="T19" i="1"/>
  <c r="U19" i="1" s="1"/>
  <c r="N19" i="1"/>
  <c r="R19" i="1" s="1"/>
  <c r="Q19" i="1" s="1"/>
  <c r="I19" i="1"/>
  <c r="G19" i="1"/>
  <c r="K19" i="1" s="1"/>
  <c r="F19" i="1"/>
  <c r="T18" i="1"/>
  <c r="U18" i="1" s="1"/>
  <c r="N18" i="1"/>
  <c r="R18" i="1" s="1"/>
  <c r="Q18" i="1" s="1"/>
  <c r="I18" i="1"/>
  <c r="G18" i="1"/>
  <c r="K18" i="1" s="1"/>
  <c r="F18" i="1"/>
  <c r="N17" i="1"/>
  <c r="R17" i="1" s="1"/>
  <c r="Q17" i="1" s="1"/>
  <c r="I17" i="1"/>
  <c r="G17" i="1"/>
  <c r="K17" i="1" s="1"/>
  <c r="C17" i="1"/>
  <c r="T17" i="1" s="1"/>
  <c r="U17" i="1" s="1"/>
  <c r="N16" i="1"/>
  <c r="R16" i="1" s="1"/>
  <c r="Q16" i="1" s="1"/>
  <c r="I16" i="1"/>
  <c r="G16" i="1"/>
  <c r="K16" i="1" s="1"/>
  <c r="C16" i="1"/>
  <c r="T15" i="1"/>
  <c r="U15" i="1" s="1"/>
  <c r="N15" i="1"/>
  <c r="R15" i="1" s="1"/>
  <c r="Q15" i="1" s="1"/>
  <c r="I15" i="1"/>
  <c r="G15" i="1"/>
  <c r="K15" i="1" s="1"/>
  <c r="F15" i="1"/>
  <c r="L15" i="1" s="1"/>
  <c r="T14" i="1"/>
  <c r="U14" i="1" s="1"/>
  <c r="N14" i="1"/>
  <c r="R14" i="1" s="1"/>
  <c r="Q14" i="1" s="1"/>
  <c r="I14" i="1"/>
  <c r="G14" i="1"/>
  <c r="K14" i="1" s="1"/>
  <c r="F14" i="1"/>
  <c r="L14" i="1" s="1"/>
  <c r="T13" i="1"/>
  <c r="U13" i="1" s="1"/>
  <c r="N13" i="1"/>
  <c r="R13" i="1" s="1"/>
  <c r="Q13" i="1" s="1"/>
  <c r="I13" i="1"/>
  <c r="G13" i="1"/>
  <c r="K13" i="1" s="1"/>
  <c r="F13" i="1"/>
  <c r="T12" i="1"/>
  <c r="U12" i="1" s="1"/>
  <c r="N12" i="1"/>
  <c r="R12" i="1" s="1"/>
  <c r="Q12" i="1" s="1"/>
  <c r="I12" i="1"/>
  <c r="G12" i="1"/>
  <c r="K12" i="1" s="1"/>
  <c r="F12" i="1"/>
  <c r="T11" i="1"/>
  <c r="U11" i="1" s="1"/>
  <c r="N11" i="1"/>
  <c r="R11" i="1" s="1"/>
  <c r="Q11" i="1" s="1"/>
  <c r="I11" i="1"/>
  <c r="G11" i="1"/>
  <c r="K11" i="1" s="1"/>
  <c r="F11" i="1"/>
  <c r="T10" i="1"/>
  <c r="U10" i="1" s="1"/>
  <c r="N10" i="1"/>
  <c r="R10" i="1" s="1"/>
  <c r="Q10" i="1" s="1"/>
  <c r="I10" i="1"/>
  <c r="G10" i="1"/>
  <c r="K10" i="1" s="1"/>
  <c r="J10" i="1" s="1"/>
  <c r="F10" i="1"/>
  <c r="L10" i="1" s="1"/>
  <c r="L48" i="1" l="1"/>
  <c r="L12" i="1"/>
  <c r="M12" i="1" s="1"/>
  <c r="J12" i="1"/>
  <c r="J17" i="1"/>
  <c r="L19" i="1"/>
  <c r="J22" i="1"/>
  <c r="L27" i="1"/>
  <c r="J30" i="1"/>
  <c r="L32" i="1"/>
  <c r="N29" i="4"/>
  <c r="N31" i="4" s="1"/>
  <c r="W29" i="4"/>
  <c r="W31" i="4" s="1"/>
  <c r="X10" i="4"/>
  <c r="L13" i="1"/>
  <c r="J16" i="1"/>
  <c r="J18" i="1"/>
  <c r="L23" i="1"/>
  <c r="J26" i="1"/>
  <c r="L33" i="1"/>
  <c r="L57" i="1"/>
  <c r="L58" i="1" s="1"/>
  <c r="L22" i="1"/>
  <c r="L11" i="1"/>
  <c r="J14" i="1"/>
  <c r="L21" i="1"/>
  <c r="J24" i="1"/>
  <c r="L29" i="1"/>
  <c r="C34" i="1"/>
  <c r="C36" i="1" s="1"/>
  <c r="L18" i="1"/>
  <c r="L26" i="1"/>
  <c r="J11" i="1"/>
  <c r="M11" i="1" s="1"/>
  <c r="J13" i="1"/>
  <c r="M14" i="1"/>
  <c r="J15" i="1"/>
  <c r="M15" i="1" s="1"/>
  <c r="V17" i="1"/>
  <c r="J19" i="1"/>
  <c r="M19" i="1" s="1"/>
  <c r="M20" i="1"/>
  <c r="J21" i="1"/>
  <c r="M21" i="1" s="1"/>
  <c r="J23" i="1"/>
  <c r="M23" i="1" s="1"/>
  <c r="M24" i="1"/>
  <c r="J25" i="1"/>
  <c r="M25" i="1" s="1"/>
  <c r="J27" i="1"/>
  <c r="M27" i="1" s="1"/>
  <c r="M28" i="1"/>
  <c r="J29" i="1"/>
  <c r="V30" i="1"/>
  <c r="M31" i="1"/>
  <c r="J32" i="1"/>
  <c r="M32" i="1" s="1"/>
  <c r="M33" i="1"/>
  <c r="J41" i="1"/>
  <c r="L40" i="1"/>
  <c r="L42" i="1" s="1"/>
  <c r="U40" i="1"/>
  <c r="U41" i="1"/>
  <c r="U48" i="1"/>
  <c r="V48" i="1" s="1"/>
  <c r="U56" i="1"/>
  <c r="U57" i="1"/>
  <c r="M10" i="1"/>
  <c r="V10" i="1"/>
  <c r="V11" i="1"/>
  <c r="V12" i="1"/>
  <c r="V13" i="1"/>
  <c r="V14" i="1"/>
  <c r="V15" i="1"/>
  <c r="V18" i="1"/>
  <c r="V19" i="1"/>
  <c r="V20" i="1"/>
  <c r="V21" i="1"/>
  <c r="V22" i="1"/>
  <c r="V23" i="1"/>
  <c r="V24" i="1"/>
  <c r="W24" i="1" s="1"/>
  <c r="V25" i="1"/>
  <c r="V26" i="1"/>
  <c r="V27" i="1"/>
  <c r="L49" i="1"/>
  <c r="M48" i="1"/>
  <c r="M57" i="1"/>
  <c r="F16" i="1"/>
  <c r="L16" i="1" s="1"/>
  <c r="M16" i="1" s="1"/>
  <c r="T16" i="1"/>
  <c r="U16" i="1" s="1"/>
  <c r="V16" i="1" s="1"/>
  <c r="F17" i="1"/>
  <c r="L17" i="1"/>
  <c r="M17" i="1" s="1"/>
  <c r="W17" i="1" s="1"/>
  <c r="V28" i="1"/>
  <c r="V29" i="1"/>
  <c r="V31" i="1"/>
  <c r="V32" i="1"/>
  <c r="V33" i="1"/>
  <c r="Q40" i="1"/>
  <c r="V40" i="1" s="1"/>
  <c r="M41" i="1"/>
  <c r="Q41" i="1"/>
  <c r="Q48" i="1"/>
  <c r="M56" i="1"/>
  <c r="Q56" i="1"/>
  <c r="Q57" i="1"/>
  <c r="F30" i="1"/>
  <c r="L30" i="1" s="1"/>
  <c r="M30" i="1" s="1"/>
  <c r="W30" i="1" s="1"/>
  <c r="C60" i="1"/>
  <c r="V41" i="1" l="1"/>
  <c r="W41" i="1" s="1"/>
  <c r="M18" i="1"/>
  <c r="W18" i="1" s="1"/>
  <c r="M22" i="1"/>
  <c r="M26" i="1"/>
  <c r="V57" i="1"/>
  <c r="W57" i="1" s="1"/>
  <c r="W12" i="1"/>
  <c r="M58" i="1"/>
  <c r="M60" i="1" s="1"/>
  <c r="M13" i="1"/>
  <c r="W26" i="1"/>
  <c r="V56" i="1"/>
  <c r="W56" i="1" s="1"/>
  <c r="W14" i="1"/>
  <c r="M29" i="1"/>
  <c r="W29" i="1" s="1"/>
  <c r="W31" i="1"/>
  <c r="W22" i="1"/>
  <c r="W33" i="1"/>
  <c r="W28" i="1"/>
  <c r="M40" i="1"/>
  <c r="M42" i="1" s="1"/>
  <c r="M44" i="1" s="1"/>
  <c r="W20" i="1"/>
  <c r="W10" i="1"/>
  <c r="C64" i="1"/>
  <c r="C66" i="1" s="1"/>
  <c r="W27" i="1"/>
  <c r="W25" i="1"/>
  <c r="W23" i="1"/>
  <c r="W21" i="1"/>
  <c r="W19" i="1"/>
  <c r="W15" i="1"/>
  <c r="W13" i="1"/>
  <c r="W11" i="1"/>
  <c r="W32" i="1"/>
  <c r="W16" i="1"/>
  <c r="V49" i="1"/>
  <c r="V51" i="1" s="1"/>
  <c r="W48" i="1"/>
  <c r="M49" i="1"/>
  <c r="M34" i="1"/>
  <c r="M36" i="1" s="1"/>
  <c r="L34" i="1"/>
  <c r="V42" i="1"/>
  <c r="V34" i="1"/>
  <c r="U34" i="1"/>
  <c r="V58" i="1" l="1"/>
  <c r="V64" i="1" s="1"/>
  <c r="V66" i="1" s="1"/>
  <c r="W40" i="1"/>
  <c r="W42" i="1" s="1"/>
  <c r="M51" i="1"/>
  <c r="M64" i="1"/>
  <c r="M66" i="1" s="1"/>
  <c r="V36" i="1"/>
  <c r="V44" i="1"/>
  <c r="V60" i="1" l="1"/>
  <c r="W64" i="1"/>
</calcChain>
</file>

<file path=xl/sharedStrings.xml><?xml version="1.0" encoding="utf-8"?>
<sst xmlns="http://schemas.openxmlformats.org/spreadsheetml/2006/main" count="145" uniqueCount="74">
  <si>
    <t>CLIENTE: COMPAPEL, S.A. DE C.V.</t>
  </si>
  <si>
    <t>CALCULO DE DEPRECIACION</t>
  </si>
  <si>
    <t>Fecha cálculo depreciación:</t>
  </si>
  <si>
    <t>Valor residual:</t>
  </si>
  <si>
    <t>POLITICA 2011-2014</t>
  </si>
  <si>
    <t>POLITICA FISCAL (según LISR)</t>
  </si>
  <si>
    <t>Activo</t>
  </si>
  <si>
    <t>Fecha de Adquisición</t>
  </si>
  <si>
    <t>Valor de Adquisición</t>
  </si>
  <si>
    <t>Vida útil Financiera</t>
  </si>
  <si>
    <t>Vida útil Fiscal</t>
  </si>
  <si>
    <t>Valor residual</t>
  </si>
  <si>
    <t>Ultima Fecha Deprec.</t>
  </si>
  <si>
    <t>Fecha corte</t>
  </si>
  <si>
    <t>Tiempo a depreciar</t>
  </si>
  <si>
    <t>Tiempo Depreciado</t>
  </si>
  <si>
    <t>Tiempo Restante</t>
  </si>
  <si>
    <t>Depreciacion mensual</t>
  </si>
  <si>
    <t>Monto depreciado (acumulado)</t>
  </si>
  <si>
    <t>Tiempo a depreciar (meses)</t>
  </si>
  <si>
    <t>Tiempo Restante (meses)</t>
  </si>
  <si>
    <t>Porcentaje a Depreciar</t>
  </si>
  <si>
    <t>Monto sujeto a Depreciacion</t>
  </si>
  <si>
    <t>VARIACION</t>
  </si>
  <si>
    <t xml:space="preserve">MOBILIARIO Y EQUIPO </t>
  </si>
  <si>
    <t>Archivo metalico 4 Gavetas Color gris</t>
  </si>
  <si>
    <t>Escritorio Secretarial Continental</t>
  </si>
  <si>
    <t>4 - Sillas de Espera Azul Base Metalica y Tapiceria</t>
  </si>
  <si>
    <t>Silla Secretarial con tapiceria Café/Beige</t>
  </si>
  <si>
    <t>Juego de Silla y Mesa</t>
  </si>
  <si>
    <t>Silla Ejecutiva</t>
  </si>
  <si>
    <t>Centro de trabajo de Vidrio</t>
  </si>
  <si>
    <t>Computadora Tipo Torre Proc. INTEL CORE 2 QUAD de 2.66 GHZ Q5400 2.66 GHZ Motherboard INTEL dg45RQ Disco Duro de 500GB de 500GB DE 16MB A 7200rpm</t>
  </si>
  <si>
    <t>UPS Marca Forza de 750 VA</t>
  </si>
  <si>
    <t>Computar Tipo Torre Proc. INTEL DUAL CORE DE 2.93GHZ Motherboard ASROCK Memoria DDR2 DE 1gb PC-800, Disco duro de 320GB de 8MB A 7200rpm</t>
  </si>
  <si>
    <t>UPS Marca Forza de 750 VA, Serie 221004104039</t>
  </si>
  <si>
    <t>Computadora personal tipo torre proc. INTEL DUAL CORE DE 2.8 GHZ Memoria DDR2 de 1GB PC-800</t>
  </si>
  <si>
    <t>UPS Marca Forza de 750 VA, Serie 2210083109222</t>
  </si>
  <si>
    <t>Impresor Matricial de Carro Angosto EPSON LX-300+11 G8DY455813</t>
  </si>
  <si>
    <t>Impresor Multifuncional LASERJET Monocromatico SAMSUNG SCX 4623F</t>
  </si>
  <si>
    <t>COMPUTADOR PERSONAL TIPO TORRE, memoria DDR2 DE1 GB PC-800 disco duro de 320gb de 8MG A 7200rpm</t>
  </si>
  <si>
    <t>UPS Marca Forza de 750 VA, Serie 22100410474</t>
  </si>
  <si>
    <t xml:space="preserve">Computadora personal Pentium Dual Core 3.0 GHZ DD 320 Gb, 1 GB Memoria </t>
  </si>
  <si>
    <t xml:space="preserve">UPS de 500 VA, Serie </t>
  </si>
  <si>
    <t>Aire Acondicionado Mini Split Piso Techo Marca Innovaire BTU 36000 3 Ton 3HP Voltios 1ph</t>
  </si>
  <si>
    <t>Planta Telefonica completa marca NEC 3 Lineas y 8 Extensiones</t>
  </si>
  <si>
    <t>Impresor Canon Modelo MX-340 (Inyeccion)</t>
  </si>
  <si>
    <t xml:space="preserve">Monto total </t>
  </si>
  <si>
    <t>Sumas . . . .</t>
  </si>
  <si>
    <t xml:space="preserve">Monto según contabilidad </t>
  </si>
  <si>
    <t xml:space="preserve">Diferencia </t>
  </si>
  <si>
    <t>EQUIPO DE TRANSPORTE</t>
  </si>
  <si>
    <t>Monta Carga de 3.5 Ton. Toyota, año 1996 serie 405DFG25-15678</t>
  </si>
  <si>
    <t>Camion KIA 3000S Liviano c/funrgon de 1.50 Ton., Motor J2430420, Placa P9460-2000</t>
  </si>
  <si>
    <t xml:space="preserve">Sumas . . . </t>
  </si>
  <si>
    <t>MAQUINARIA</t>
  </si>
  <si>
    <t>Convertidora marca BECK, Serie 803, color verde</t>
  </si>
  <si>
    <t>SOFTWARE</t>
  </si>
  <si>
    <t>Software DTH - ERP</t>
  </si>
  <si>
    <t>Software SAC - ERP 3 LICENCIAS 4 MODULOS</t>
  </si>
  <si>
    <t>Reporte</t>
  </si>
  <si>
    <t>Reporte Fiscal</t>
  </si>
  <si>
    <t>Contabilidad</t>
  </si>
  <si>
    <t>Variacion</t>
  </si>
  <si>
    <r>
      <t xml:space="preserve">PERIODO </t>
    </r>
    <r>
      <rPr>
        <b/>
        <sz val="10"/>
        <color indexed="9"/>
        <rFont val="Arial Narrow"/>
        <family val="2"/>
      </rPr>
      <t>DE AUDITORI</t>
    </r>
    <r>
      <rPr>
        <b/>
        <sz val="10"/>
        <rFont val="Arial Narrow"/>
        <family val="2"/>
      </rPr>
      <t>: 2015</t>
    </r>
  </si>
  <si>
    <r>
      <t xml:space="preserve">PERIODO </t>
    </r>
    <r>
      <rPr>
        <b/>
        <sz val="10"/>
        <color indexed="9"/>
        <rFont val="Arial Narrow"/>
        <family val="2"/>
      </rPr>
      <t>DE AUDITORI</t>
    </r>
    <r>
      <rPr>
        <b/>
        <sz val="10"/>
        <rFont val="Arial Narrow"/>
        <family val="2"/>
      </rPr>
      <t>: 2023</t>
    </r>
  </si>
  <si>
    <t>Depreciacion Diciembre 2023</t>
  </si>
  <si>
    <t>CLIENTE: EL ÉXITO Y MAS, S.A. DE C.V.</t>
  </si>
  <si>
    <t xml:space="preserve">MONITOR LENOVO 2311 LCD SERIE </t>
  </si>
  <si>
    <t>COMPUTADOR CLON MINI TORRE SERIE</t>
  </si>
  <si>
    <t xml:space="preserve">MONITOR BENQ 40" LED, SERIE </t>
  </si>
  <si>
    <t xml:space="preserve">LAPTO LENOVO LEGION SERIE </t>
  </si>
  <si>
    <t>Meses a depreciar</t>
  </si>
  <si>
    <t>CALCULO DEPRECIACIÓN 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</si>
</sst>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"/>
    <numFmt numFmtId="168" formatCode="_-* #,##0.00_-;\-* #,##0.00_-;_-* &quot;-&quot;_-;_-@_-"/>
  </numFmts>
  <fonts count="26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b/>
      <sz val="12"/>
      <name val="Arial Narrow"/>
      <family val="2"/>
    </font>
    <font>
      <sz val="5"/>
      <name val="Times New Roman"/>
      <family val="1"/>
    </font>
    <font>
      <b/>
      <sz val="10"/>
      <color indexed="9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9"/>
      <name val="Cambria"/>
      <family val="1"/>
    </font>
    <font>
      <b/>
      <sz val="9"/>
      <name val="Arial Narrow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8"/>
      <name val="Cambria"/>
      <family val="1"/>
    </font>
    <font>
      <sz val="10"/>
      <name val="Arial"/>
      <family val="2"/>
    </font>
    <font>
      <b/>
      <sz val="15"/>
      <color indexed="56"/>
      <name val="Calibri"/>
      <family val="2"/>
    </font>
    <font>
      <sz val="10"/>
      <color theme="0"/>
      <name val="Arial Narrow"/>
      <family val="2"/>
    </font>
    <font>
      <b/>
      <sz val="20"/>
      <color theme="0"/>
      <name val="Arial Narrow"/>
      <family val="2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53"/>
      </top>
      <bottom/>
      <diagonal/>
    </border>
    <border>
      <left/>
      <right style="thick">
        <color indexed="53"/>
      </right>
      <top style="thick">
        <color indexed="53"/>
      </top>
      <bottom/>
      <diagonal/>
    </border>
    <border>
      <left style="thick">
        <color indexed="19"/>
      </left>
      <right/>
      <top/>
      <bottom/>
      <diagonal/>
    </border>
    <border>
      <left/>
      <right style="thick">
        <color indexed="5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3"/>
      </bottom>
      <diagonal/>
    </border>
    <border>
      <left/>
      <right style="thick">
        <color indexed="53"/>
      </right>
      <top/>
      <bottom style="thick">
        <color indexed="53"/>
      </bottom>
      <diagonal/>
    </border>
    <border>
      <left style="thick">
        <color theme="8" tint="-0.499984740745262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ck">
        <color theme="8" tint="-0.499984740745262"/>
      </left>
      <right/>
      <top/>
      <bottom/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ck">
        <color theme="8" tint="-0.499984740745262"/>
      </top>
      <bottom style="thin">
        <color indexed="64"/>
      </bottom>
      <diagonal/>
    </border>
    <border>
      <left style="thick">
        <color rgb="FF92D050"/>
      </left>
      <right style="thin">
        <color indexed="64"/>
      </right>
      <top/>
      <bottom style="thin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/>
      <top/>
      <bottom style="thick">
        <color rgb="FF92D050"/>
      </bottom>
      <diagonal/>
    </border>
    <border>
      <left/>
      <right/>
      <top/>
      <bottom style="thick">
        <color rgb="FF92D050"/>
      </bottom>
      <diagonal/>
    </border>
    <border>
      <left style="thick">
        <color theme="8" tint="-0.499984740745262"/>
      </left>
      <right/>
      <top/>
      <bottom style="thick">
        <color rgb="FF92D050"/>
      </bottom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/>
      <right/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2D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2D050"/>
      </right>
      <top style="thin">
        <color indexed="64"/>
      </top>
      <bottom/>
      <diagonal/>
    </border>
    <border>
      <left style="thick">
        <color rgb="FF92D050"/>
      </left>
      <right/>
      <top style="thin">
        <color indexed="64"/>
      </top>
      <bottom style="thick">
        <color rgb="FF92D050"/>
      </bottom>
      <diagonal/>
    </border>
    <border>
      <left/>
      <right/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 style="thin">
        <color indexed="64"/>
      </top>
      <bottom style="thick">
        <color rgb="FF92D050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14" applyNumberFormat="0" applyFill="0" applyAlignment="0" applyProtection="0"/>
  </cellStyleXfs>
  <cellXfs count="15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5" fontId="5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167" fontId="5" fillId="2" borderId="0" xfId="0" applyNumberFormat="1" applyFont="1" applyFill="1"/>
    <xf numFmtId="4" fontId="5" fillId="2" borderId="0" xfId="0" applyNumberFormat="1" applyFont="1" applyFill="1"/>
    <xf numFmtId="165" fontId="5" fillId="2" borderId="0" xfId="3" applyFont="1" applyFill="1"/>
    <xf numFmtId="0" fontId="7" fillId="2" borderId="0" xfId="0" applyFont="1" applyFill="1"/>
    <xf numFmtId="0" fontId="8" fillId="2" borderId="0" xfId="0" applyFont="1" applyFill="1"/>
    <xf numFmtId="165" fontId="8" fillId="2" borderId="0" xfId="0" applyNumberFormat="1" applyFont="1" applyFill="1"/>
    <xf numFmtId="167" fontId="8" fillId="2" borderId="0" xfId="0" applyNumberFormat="1" applyFont="1" applyFill="1"/>
    <xf numFmtId="4" fontId="8" fillId="2" borderId="0" xfId="0" applyNumberFormat="1" applyFont="1" applyFill="1"/>
    <xf numFmtId="0" fontId="10" fillId="2" borderId="2" xfId="0" applyFont="1" applyFill="1" applyBorder="1" applyAlignment="1">
      <alignment horizontal="left"/>
    </xf>
    <xf numFmtId="14" fontId="11" fillId="2" borderId="3" xfId="0" applyNumberFormat="1" applyFont="1" applyFill="1" applyBorder="1"/>
    <xf numFmtId="166" fontId="12" fillId="2" borderId="0" xfId="1" applyFont="1" applyFill="1" applyAlignment="1"/>
    <xf numFmtId="0" fontId="12" fillId="2" borderId="0" xfId="0" applyFont="1" applyFill="1"/>
    <xf numFmtId="165" fontId="12" fillId="2" borderId="0" xfId="0" applyNumberFormat="1" applyFont="1" applyFill="1"/>
    <xf numFmtId="167" fontId="12" fillId="2" borderId="0" xfId="0" applyNumberFormat="1" applyFont="1" applyFill="1"/>
    <xf numFmtId="4" fontId="12" fillId="2" borderId="0" xfId="0" applyNumberFormat="1" applyFont="1" applyFill="1"/>
    <xf numFmtId="0" fontId="10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7" xfId="0" applyFont="1" applyFill="1" applyBorder="1"/>
    <xf numFmtId="4" fontId="12" fillId="2" borderId="8" xfId="0" applyNumberFormat="1" applyFont="1" applyFill="1" applyBorder="1"/>
    <xf numFmtId="0" fontId="14" fillId="2" borderId="9" xfId="0" applyFont="1" applyFill="1" applyBorder="1" applyAlignment="1">
      <alignment horizontal="center" vertical="justify" wrapText="1"/>
    </xf>
    <xf numFmtId="0" fontId="14" fillId="2" borderId="10" xfId="0" applyFont="1" applyFill="1" applyBorder="1" applyAlignment="1">
      <alignment horizontal="center" vertical="justify" wrapText="1"/>
    </xf>
    <xf numFmtId="4" fontId="14" fillId="2" borderId="9" xfId="0" applyNumberFormat="1" applyFont="1" applyFill="1" applyBorder="1" applyAlignment="1">
      <alignment horizontal="center" vertical="justify" wrapText="1"/>
    </xf>
    <xf numFmtId="0" fontId="14" fillId="2" borderId="11" xfId="0" applyFont="1" applyFill="1" applyBorder="1" applyAlignment="1">
      <alignment horizontal="center" vertical="justify" wrapText="1"/>
    </xf>
    <xf numFmtId="167" fontId="14" fillId="2" borderId="9" xfId="0" applyNumberFormat="1" applyFont="1" applyFill="1" applyBorder="1" applyAlignment="1">
      <alignment horizontal="center" vertical="justify" wrapText="1"/>
    </xf>
    <xf numFmtId="4" fontId="14" fillId="2" borderId="12" xfId="0" applyNumberFormat="1" applyFont="1" applyFill="1" applyBorder="1" applyAlignment="1">
      <alignment horizontal="center" vertical="justify" wrapText="1"/>
    </xf>
    <xf numFmtId="0" fontId="15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6" fillId="2" borderId="13" xfId="0" applyFont="1" applyFill="1" applyBorder="1" applyAlignment="1">
      <alignment horizontal="center" vertical="justify"/>
    </xf>
    <xf numFmtId="0" fontId="16" fillId="2" borderId="4" xfId="0" applyFont="1" applyFill="1" applyBorder="1" applyAlignment="1">
      <alignment horizontal="center" vertical="justify"/>
    </xf>
    <xf numFmtId="0" fontId="16" fillId="2" borderId="0" xfId="0" applyFont="1" applyFill="1" applyAlignment="1">
      <alignment horizontal="center"/>
    </xf>
    <xf numFmtId="165" fontId="16" fillId="2" borderId="0" xfId="0" applyNumberFormat="1" applyFont="1" applyFill="1" applyAlignment="1">
      <alignment horizontal="center"/>
    </xf>
    <xf numFmtId="4" fontId="16" fillId="2" borderId="0" xfId="0" applyNumberFormat="1" applyFont="1" applyFill="1" applyAlignment="1">
      <alignment horizontal="center"/>
    </xf>
    <xf numFmtId="167" fontId="16" fillId="2" borderId="0" xfId="0" applyNumberFormat="1" applyFont="1" applyFill="1" applyAlignment="1">
      <alignment horizontal="center"/>
    </xf>
    <xf numFmtId="4" fontId="16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7" fillId="0" borderId="9" xfId="0" applyFont="1" applyBorder="1" applyAlignment="1">
      <alignment vertical="center"/>
    </xf>
    <xf numFmtId="168" fontId="17" fillId="2" borderId="9" xfId="2" applyNumberFormat="1" applyFont="1" applyFill="1" applyBorder="1" applyAlignment="1"/>
    <xf numFmtId="0" fontId="17" fillId="2" borderId="9" xfId="0" applyFont="1" applyFill="1" applyBorder="1"/>
    <xf numFmtId="14" fontId="17" fillId="2" borderId="0" xfId="0" applyNumberFormat="1" applyFont="1" applyFill="1"/>
    <xf numFmtId="1" fontId="17" fillId="2" borderId="0" xfId="0" applyNumberFormat="1" applyFont="1" applyFill="1" applyAlignment="1">
      <alignment horizontal="center"/>
    </xf>
    <xf numFmtId="167" fontId="17" fillId="2" borderId="0" xfId="0" applyNumberFormat="1" applyFont="1" applyFill="1" applyAlignment="1">
      <alignment horizontal="center"/>
    </xf>
    <xf numFmtId="165" fontId="17" fillId="2" borderId="0" xfId="0" applyNumberFormat="1" applyFont="1" applyFill="1"/>
    <xf numFmtId="0" fontId="17" fillId="2" borderId="0" xfId="0" applyFont="1" applyFill="1"/>
    <xf numFmtId="167" fontId="17" fillId="2" borderId="0" xfId="0" applyNumberFormat="1" applyFont="1" applyFill="1"/>
    <xf numFmtId="9" fontId="17" fillId="2" borderId="0" xfId="4" applyFont="1" applyFill="1" applyBorder="1" applyAlignment="1"/>
    <xf numFmtId="4" fontId="17" fillId="2" borderId="0" xfId="0" applyNumberFormat="1" applyFont="1" applyFill="1"/>
    <xf numFmtId="4" fontId="17" fillId="2" borderId="8" xfId="0" applyNumberFormat="1" applyFont="1" applyFill="1" applyBorder="1"/>
    <xf numFmtId="166" fontId="17" fillId="2" borderId="9" xfId="1" applyFont="1" applyFill="1" applyBorder="1" applyAlignment="1"/>
    <xf numFmtId="0" fontId="16" fillId="2" borderId="13" xfId="0" applyFont="1" applyFill="1" applyBorder="1"/>
    <xf numFmtId="166" fontId="16" fillId="2" borderId="9" xfId="1" applyFont="1" applyFill="1" applyBorder="1" applyAlignment="1"/>
    <xf numFmtId="0" fontId="16" fillId="2" borderId="9" xfId="0" applyFont="1" applyFill="1" applyBorder="1"/>
    <xf numFmtId="168" fontId="16" fillId="2" borderId="9" xfId="2" applyNumberFormat="1" applyFont="1" applyFill="1" applyBorder="1" applyAlignment="1"/>
    <xf numFmtId="0" fontId="16" fillId="2" borderId="0" xfId="0" applyFont="1" applyFill="1"/>
    <xf numFmtId="1" fontId="16" fillId="2" borderId="0" xfId="0" applyNumberFormat="1" applyFont="1" applyFill="1" applyAlignment="1">
      <alignment horizontal="center"/>
    </xf>
    <xf numFmtId="2" fontId="16" fillId="2" borderId="0" xfId="0" applyNumberFormat="1" applyFont="1" applyFill="1"/>
    <xf numFmtId="165" fontId="16" fillId="2" borderId="0" xfId="0" applyNumberFormat="1" applyFont="1" applyFill="1"/>
    <xf numFmtId="4" fontId="16" fillId="2" borderId="0" xfId="0" applyNumberFormat="1" applyFont="1" applyFill="1"/>
    <xf numFmtId="165" fontId="16" fillId="4" borderId="12" xfId="3" applyFont="1" applyFill="1" applyBorder="1" applyAlignment="1">
      <alignment horizontal="center"/>
    </xf>
    <xf numFmtId="2" fontId="17" fillId="2" borderId="0" xfId="0" applyNumberFormat="1" applyFont="1" applyFill="1"/>
    <xf numFmtId="14" fontId="17" fillId="2" borderId="0" xfId="0" applyNumberFormat="1" applyFont="1" applyFill="1" applyAlignment="1">
      <alignment horizontal="center"/>
    </xf>
    <xf numFmtId="166" fontId="17" fillId="2" borderId="0" xfId="1" applyFont="1" applyFill="1" applyBorder="1" applyAlignment="1"/>
    <xf numFmtId="168" fontId="17" fillId="2" borderId="0" xfId="2" applyNumberFormat="1" applyFont="1" applyFill="1" applyBorder="1" applyAlignment="1"/>
    <xf numFmtId="0" fontId="16" fillId="2" borderId="9" xfId="0" applyFont="1" applyFill="1" applyBorder="1" applyAlignment="1">
      <alignment horizontal="center" vertical="justify"/>
    </xf>
    <xf numFmtId="0" fontId="16" fillId="2" borderId="10" xfId="0" applyFont="1" applyFill="1" applyBorder="1" applyAlignment="1">
      <alignment horizontal="center" vertical="justify"/>
    </xf>
    <xf numFmtId="0" fontId="18" fillId="0" borderId="9" xfId="0" applyFont="1" applyBorder="1" applyAlignment="1">
      <alignment vertical="center"/>
    </xf>
    <xf numFmtId="165" fontId="16" fillId="4" borderId="12" xfId="3" applyFont="1" applyFill="1" applyBorder="1" applyAlignment="1"/>
    <xf numFmtId="165" fontId="16" fillId="4" borderId="8" xfId="3" applyFont="1" applyFill="1" applyBorder="1" applyAlignment="1">
      <alignment horizontal="center"/>
    </xf>
    <xf numFmtId="4" fontId="5" fillId="2" borderId="8" xfId="0" applyNumberFormat="1" applyFont="1" applyFill="1" applyBorder="1"/>
    <xf numFmtId="0" fontId="5" fillId="2" borderId="15" xfId="0" applyFont="1" applyFill="1" applyBorder="1"/>
    <xf numFmtId="167" fontId="5" fillId="2" borderId="15" xfId="0" applyNumberFormat="1" applyFont="1" applyFill="1" applyBorder="1"/>
    <xf numFmtId="4" fontId="5" fillId="2" borderId="15" xfId="0" applyNumberFormat="1" applyFont="1" applyFill="1" applyBorder="1"/>
    <xf numFmtId="4" fontId="5" fillId="2" borderId="16" xfId="0" applyNumberFormat="1" applyFont="1" applyFill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14" fontId="17" fillId="0" borderId="10" xfId="0" applyNumberFormat="1" applyFont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/>
    </xf>
    <xf numFmtId="14" fontId="17" fillId="2" borderId="10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 vertical="justify" wrapText="1"/>
    </xf>
    <xf numFmtId="0" fontId="14" fillId="2" borderId="18" xfId="0" applyFont="1" applyFill="1" applyBorder="1" applyAlignment="1">
      <alignment horizontal="center" vertical="justify" wrapText="1"/>
    </xf>
    <xf numFmtId="165" fontId="14" fillId="2" borderId="18" xfId="0" applyNumberFormat="1" applyFont="1" applyFill="1" applyBorder="1" applyAlignment="1">
      <alignment horizontal="center" vertical="justify" wrapText="1"/>
    </xf>
    <xf numFmtId="0" fontId="17" fillId="2" borderId="19" xfId="0" applyFont="1" applyFill="1" applyBorder="1"/>
    <xf numFmtId="0" fontId="5" fillId="2" borderId="19" xfId="0" applyFont="1" applyFill="1" applyBorder="1"/>
    <xf numFmtId="0" fontId="16" fillId="2" borderId="19" xfId="0" applyFont="1" applyFill="1" applyBorder="1" applyAlignment="1">
      <alignment horizontal="center"/>
    </xf>
    <xf numFmtId="14" fontId="17" fillId="2" borderId="19" xfId="0" applyNumberFormat="1" applyFont="1" applyFill="1" applyBorder="1"/>
    <xf numFmtId="0" fontId="16" fillId="2" borderId="19" xfId="0" applyFont="1" applyFill="1" applyBorder="1"/>
    <xf numFmtId="9" fontId="11" fillId="2" borderId="1" xfId="0" applyNumberFormat="1" applyFont="1" applyFill="1" applyBorder="1" applyAlignment="1">
      <alignment horizontal="right"/>
    </xf>
    <xf numFmtId="166" fontId="12" fillId="2" borderId="23" xfId="1" applyFont="1" applyFill="1" applyBorder="1" applyAlignment="1"/>
    <xf numFmtId="14" fontId="12" fillId="2" borderId="0" xfId="0" applyNumberFormat="1" applyFont="1" applyFill="1"/>
    <xf numFmtId="166" fontId="12" fillId="2" borderId="0" xfId="1" applyFont="1" applyFill="1" applyBorder="1" applyAlignment="1"/>
    <xf numFmtId="165" fontId="12" fillId="2" borderId="24" xfId="0" applyNumberFormat="1" applyFont="1" applyFill="1" applyBorder="1"/>
    <xf numFmtId="0" fontId="14" fillId="2" borderId="25" xfId="0" applyFont="1" applyFill="1" applyBorder="1" applyAlignment="1">
      <alignment horizontal="center" vertical="justify" wrapText="1"/>
    </xf>
    <xf numFmtId="165" fontId="14" fillId="2" borderId="26" xfId="0" applyNumberFormat="1" applyFont="1" applyFill="1" applyBorder="1" applyAlignment="1">
      <alignment horizontal="center" vertical="justify" wrapText="1"/>
    </xf>
    <xf numFmtId="0" fontId="16" fillId="2" borderId="27" xfId="0" applyFont="1" applyFill="1" applyBorder="1" applyAlignment="1">
      <alignment horizontal="center" vertical="justify"/>
    </xf>
    <xf numFmtId="165" fontId="16" fillId="2" borderId="24" xfId="0" applyNumberFormat="1" applyFont="1" applyFill="1" applyBorder="1" applyAlignment="1">
      <alignment horizontal="center"/>
    </xf>
    <xf numFmtId="168" fontId="17" fillId="2" borderId="28" xfId="2" applyNumberFormat="1" applyFont="1" applyFill="1" applyBorder="1" applyAlignment="1"/>
    <xf numFmtId="165" fontId="17" fillId="2" borderId="24" xfId="0" applyNumberFormat="1" applyFont="1" applyFill="1" applyBorder="1"/>
    <xf numFmtId="166" fontId="16" fillId="2" borderId="28" xfId="1" applyFont="1" applyFill="1" applyBorder="1" applyAlignment="1"/>
    <xf numFmtId="165" fontId="16" fillId="3" borderId="24" xfId="3" applyFont="1" applyFill="1" applyBorder="1" applyAlignment="1"/>
    <xf numFmtId="166" fontId="17" fillId="2" borderId="28" xfId="1" applyFont="1" applyFill="1" applyBorder="1" applyAlignment="1"/>
    <xf numFmtId="165" fontId="16" fillId="3" borderId="29" xfId="3" applyFont="1" applyFill="1" applyBorder="1" applyAlignment="1"/>
    <xf numFmtId="166" fontId="17" fillId="2" borderId="23" xfId="1" applyFont="1" applyFill="1" applyBorder="1" applyAlignment="1"/>
    <xf numFmtId="0" fontId="16" fillId="2" borderId="28" xfId="0" applyFont="1" applyFill="1" applyBorder="1" applyAlignment="1">
      <alignment horizontal="center" vertical="justify"/>
    </xf>
    <xf numFmtId="168" fontId="16" fillId="2" borderId="28" xfId="2" applyNumberFormat="1" applyFont="1" applyFill="1" applyBorder="1" applyAlignment="1"/>
    <xf numFmtId="165" fontId="17" fillId="3" borderId="29" xfId="3" applyFont="1" applyFill="1" applyBorder="1" applyAlignment="1"/>
    <xf numFmtId="0" fontId="17" fillId="2" borderId="23" xfId="0" applyFont="1" applyFill="1" applyBorder="1"/>
    <xf numFmtId="0" fontId="5" fillId="2" borderId="23" xfId="0" applyFont="1" applyFill="1" applyBorder="1"/>
    <xf numFmtId="165" fontId="5" fillId="2" borderId="24" xfId="0" applyNumberFormat="1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165" fontId="5" fillId="2" borderId="31" xfId="0" applyNumberFormat="1" applyFont="1" applyFill="1" applyBorder="1"/>
    <xf numFmtId="165" fontId="5" fillId="2" borderId="33" xfId="0" applyNumberFormat="1" applyFont="1" applyFill="1" applyBorder="1"/>
    <xf numFmtId="0" fontId="14" fillId="2" borderId="34" xfId="0" applyFont="1" applyFill="1" applyBorder="1" applyAlignment="1">
      <alignment horizontal="center" vertical="justify" wrapText="1"/>
    </xf>
    <xf numFmtId="165" fontId="4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165" fontId="14" fillId="2" borderId="35" xfId="0" applyNumberFormat="1" applyFont="1" applyFill="1" applyBorder="1" applyAlignment="1">
      <alignment horizontal="center" vertical="justify" wrapText="1"/>
    </xf>
    <xf numFmtId="0" fontId="17" fillId="0" borderId="13" xfId="0" applyFont="1" applyBorder="1" applyAlignment="1">
      <alignment vertical="center"/>
    </xf>
    <xf numFmtId="14" fontId="17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2" borderId="37" xfId="0" applyFont="1" applyFill="1" applyBorder="1"/>
    <xf numFmtId="14" fontId="17" fillId="2" borderId="2" xfId="0" applyNumberFormat="1" applyFont="1" applyFill="1" applyBorder="1" applyAlignment="1">
      <alignment horizontal="center"/>
    </xf>
    <xf numFmtId="0" fontId="16" fillId="2" borderId="37" xfId="0" applyFont="1" applyFill="1" applyBorder="1"/>
    <xf numFmtId="166" fontId="16" fillId="2" borderId="37" xfId="1" applyFont="1" applyFill="1" applyBorder="1" applyAlignment="1"/>
    <xf numFmtId="168" fontId="16" fillId="2" borderId="37" xfId="2" applyNumberFormat="1" applyFont="1" applyFill="1" applyBorder="1" applyAlignment="1"/>
    <xf numFmtId="0" fontId="5" fillId="2" borderId="36" xfId="0" applyFont="1" applyFill="1" applyBorder="1"/>
    <xf numFmtId="4" fontId="5" fillId="0" borderId="36" xfId="0" applyNumberFormat="1" applyFont="1" applyBorder="1" applyAlignment="1">
      <alignment horizontal="center"/>
    </xf>
    <xf numFmtId="165" fontId="23" fillId="5" borderId="24" xfId="3" applyFont="1" applyFill="1" applyBorder="1" applyAlignment="1"/>
    <xf numFmtId="165" fontId="23" fillId="5" borderId="29" xfId="3" applyFont="1" applyFill="1" applyBorder="1" applyAlignment="1"/>
    <xf numFmtId="165" fontId="23" fillId="5" borderId="39" xfId="3" applyFont="1" applyFill="1" applyBorder="1" applyAlignment="1"/>
    <xf numFmtId="14" fontId="0" fillId="0" borderId="10" xfId="0" applyNumberFormat="1" applyBorder="1" applyAlignment="1">
      <alignment horizontal="center" vertical="center"/>
    </xf>
    <xf numFmtId="165" fontId="2" fillId="0" borderId="28" xfId="3" applyFont="1" applyFill="1" applyBorder="1" applyAlignment="1">
      <alignment vertical="center"/>
    </xf>
    <xf numFmtId="4" fontId="5" fillId="0" borderId="40" xfId="0" applyNumberFormat="1" applyFont="1" applyBorder="1" applyAlignment="1">
      <alignment horizontal="center"/>
    </xf>
    <xf numFmtId="0" fontId="5" fillId="2" borderId="41" xfId="0" applyFont="1" applyFill="1" applyBorder="1"/>
    <xf numFmtId="4" fontId="5" fillId="0" borderId="41" xfId="0" applyNumberFormat="1" applyFont="1" applyBorder="1" applyAlignment="1">
      <alignment horizontal="center"/>
    </xf>
    <xf numFmtId="165" fontId="21" fillId="2" borderId="41" xfId="0" applyNumberFormat="1" applyFont="1" applyFill="1" applyBorder="1"/>
    <xf numFmtId="165" fontId="21" fillId="2" borderId="42" xfId="0" applyNumberFormat="1" applyFont="1" applyFill="1" applyBorder="1"/>
    <xf numFmtId="166" fontId="23" fillId="5" borderId="28" xfId="1" applyFont="1" applyFill="1" applyBorder="1" applyAlignment="1"/>
    <xf numFmtId="166" fontId="24" fillId="5" borderId="38" xfId="1" applyFont="1" applyFill="1" applyBorder="1" applyAlignment="1"/>
    <xf numFmtId="166" fontId="5" fillId="2" borderId="0" xfId="0" applyNumberFormat="1" applyFont="1" applyFill="1"/>
    <xf numFmtId="165" fontId="1" fillId="0" borderId="28" xfId="3" applyFont="1" applyFill="1" applyBorder="1" applyAlignment="1">
      <alignment vertical="center"/>
    </xf>
    <xf numFmtId="0" fontId="25" fillId="2" borderId="0" xfId="0" applyFont="1" applyFill="1"/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2" fillId="6" borderId="22" xfId="0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Millares 2" xfId="5" xr:uid="{00000000-0005-0000-0000-000002000000}"/>
    <cellStyle name="Moneda" xfId="3" builtinId="4"/>
    <cellStyle name="Normal" xfId="0" builtinId="0"/>
    <cellStyle name="Porcentaje" xfId="4" builtinId="5"/>
    <cellStyle name="Título 1" xfId="6" xr:uid="{00000000-0005-0000-0000-000006000000}"/>
  </cellStyles>
  <dxfs count="0"/>
  <tableStyles count="1" defaultTableStyle="TableStyleMedium9" defaultPivotStyle="PivotStyleLight16">
    <tableStyle name="Invisible" pivot="0" table="0" count="0" xr9:uid="{A60FD354-5C31-44A1-AB48-30CDB48EEF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69"/>
  <sheetViews>
    <sheetView topLeftCell="A7" zoomScale="70" workbookViewId="0">
      <selection activeCell="M7" sqref="M1:M1048576"/>
    </sheetView>
  </sheetViews>
  <sheetFormatPr baseColWidth="10" defaultColWidth="12" defaultRowHeight="13.8" x14ac:dyDescent="0.3"/>
  <cols>
    <col min="1" max="1" width="47.6640625" style="2" customWidth="1"/>
    <col min="2" max="2" width="18.109375" style="2" customWidth="1"/>
    <col min="3" max="3" width="17" style="2" customWidth="1"/>
    <col min="4" max="4" width="14.33203125" style="2" customWidth="1"/>
    <col min="5" max="5" width="9.33203125" style="2" customWidth="1"/>
    <col min="6" max="6" width="11.109375" style="2" customWidth="1"/>
    <col min="7" max="7" width="13.44140625" style="2" customWidth="1"/>
    <col min="8" max="8" width="12.44140625" style="2" customWidth="1"/>
    <col min="9" max="9" width="12.6640625" style="2" customWidth="1"/>
    <col min="10" max="10" width="15" style="2" customWidth="1"/>
    <col min="11" max="11" width="12" style="2" customWidth="1"/>
    <col min="12" max="12" width="17.33203125" style="4" customWidth="1"/>
    <col min="13" max="13" width="15" style="4" customWidth="1"/>
    <col min="14" max="14" width="12.77734375" style="2" customWidth="1"/>
    <col min="15" max="15" width="14.33203125" style="2" customWidth="1"/>
    <col min="16" max="16" width="13.33203125" style="2" customWidth="1"/>
    <col min="17" max="17" width="15.77734375" style="6" customWidth="1"/>
    <col min="18" max="19" width="14.6640625" style="6" customWidth="1"/>
    <col min="20" max="20" width="15.109375" style="7" customWidth="1"/>
    <col min="21" max="22" width="17.6640625" style="7" customWidth="1"/>
    <col min="23" max="23" width="16.6640625" style="2" customWidth="1"/>
    <col min="24" max="16384" width="12" style="2"/>
  </cols>
  <sheetData>
    <row r="1" spans="1:24" ht="17.25" customHeight="1" x14ac:dyDescent="0.3">
      <c r="A1" s="1" t="s">
        <v>0</v>
      </c>
      <c r="C1" s="3"/>
      <c r="E1" s="3"/>
    </row>
    <row r="2" spans="1:24" s="10" customFormat="1" ht="17.25" customHeight="1" x14ac:dyDescent="0.3">
      <c r="A2" s="9" t="s">
        <v>1</v>
      </c>
      <c r="L2" s="11"/>
      <c r="M2" s="11"/>
      <c r="Q2" s="12"/>
      <c r="R2" s="12"/>
      <c r="S2" s="12"/>
      <c r="T2" s="13"/>
      <c r="U2" s="13"/>
      <c r="V2" s="13"/>
    </row>
    <row r="3" spans="1:24" ht="16.5" customHeight="1" x14ac:dyDescent="0.3">
      <c r="A3" s="1" t="s">
        <v>64</v>
      </c>
      <c r="C3" s="3"/>
      <c r="E3" s="3"/>
    </row>
    <row r="4" spans="1:24" ht="9" customHeight="1" x14ac:dyDescent="0.3"/>
    <row r="5" spans="1:24" s="17" customFormat="1" ht="18" customHeight="1" thickBot="1" x14ac:dyDescent="0.35">
      <c r="A5" s="14" t="s">
        <v>2</v>
      </c>
      <c r="B5" s="15">
        <v>42004</v>
      </c>
      <c r="C5" s="16"/>
      <c r="E5" s="16"/>
      <c r="L5" s="18"/>
      <c r="M5" s="18"/>
      <c r="Q5" s="19"/>
      <c r="R5" s="19"/>
      <c r="S5" s="19"/>
      <c r="T5" s="20"/>
      <c r="U5" s="20"/>
      <c r="V5" s="20"/>
    </row>
    <row r="6" spans="1:24" s="17" customFormat="1" ht="27.75" customHeight="1" thickTop="1" x14ac:dyDescent="0.45">
      <c r="A6" s="21" t="s">
        <v>3</v>
      </c>
      <c r="B6" s="91">
        <v>0</v>
      </c>
      <c r="C6" s="150" t="s">
        <v>4</v>
      </c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148" t="s">
        <v>5</v>
      </c>
      <c r="O6" s="148"/>
      <c r="P6" s="148"/>
      <c r="Q6" s="148"/>
      <c r="R6" s="148"/>
      <c r="S6" s="148"/>
      <c r="T6" s="148"/>
      <c r="U6" s="148"/>
      <c r="V6" s="149"/>
    </row>
    <row r="7" spans="1:24" s="17" customFormat="1" ht="9.75" customHeight="1" thickBot="1" x14ac:dyDescent="0.25">
      <c r="B7" s="22"/>
      <c r="C7" s="92"/>
      <c r="D7" s="93"/>
      <c r="E7" s="94"/>
      <c r="G7" s="23"/>
      <c r="L7" s="18"/>
      <c r="M7" s="95"/>
      <c r="Q7" s="19"/>
      <c r="R7" s="19"/>
      <c r="S7" s="19"/>
      <c r="T7" s="20"/>
      <c r="U7" s="20"/>
      <c r="V7" s="24"/>
    </row>
    <row r="8" spans="1:24" s="32" customFormat="1" ht="34.799999999999997" thickTop="1" x14ac:dyDescent="0.3">
      <c r="A8" s="25" t="s">
        <v>6</v>
      </c>
      <c r="B8" s="26" t="s">
        <v>7</v>
      </c>
      <c r="C8" s="96" t="s">
        <v>8</v>
      </c>
      <c r="D8" s="84" t="s">
        <v>9</v>
      </c>
      <c r="E8" s="84" t="s">
        <v>10</v>
      </c>
      <c r="F8" s="84" t="s">
        <v>11</v>
      </c>
      <c r="G8" s="118" t="s">
        <v>12</v>
      </c>
      <c r="H8" s="83" t="s">
        <v>13</v>
      </c>
      <c r="I8" s="84" t="s">
        <v>14</v>
      </c>
      <c r="J8" s="84" t="s">
        <v>15</v>
      </c>
      <c r="K8" s="84" t="s">
        <v>16</v>
      </c>
      <c r="L8" s="85" t="s">
        <v>17</v>
      </c>
      <c r="M8" s="97" t="s">
        <v>18</v>
      </c>
      <c r="N8" s="28" t="s">
        <v>12</v>
      </c>
      <c r="O8" s="25" t="s">
        <v>13</v>
      </c>
      <c r="P8" s="25" t="s">
        <v>19</v>
      </c>
      <c r="Q8" s="29" t="s">
        <v>15</v>
      </c>
      <c r="R8" s="29" t="s">
        <v>20</v>
      </c>
      <c r="S8" s="29" t="s">
        <v>21</v>
      </c>
      <c r="T8" s="27" t="s">
        <v>22</v>
      </c>
      <c r="U8" s="27" t="s">
        <v>17</v>
      </c>
      <c r="V8" s="30" t="s">
        <v>18</v>
      </c>
      <c r="W8" s="31" t="s">
        <v>23</v>
      </c>
    </row>
    <row r="9" spans="1:24" s="40" customFormat="1" ht="17.25" customHeight="1" x14ac:dyDescent="0.3">
      <c r="A9" s="33" t="s">
        <v>24</v>
      </c>
      <c r="B9" s="34"/>
      <c r="C9" s="98"/>
      <c r="D9" s="33"/>
      <c r="E9" s="33"/>
      <c r="F9" s="33"/>
      <c r="G9" s="35"/>
      <c r="H9" s="88"/>
      <c r="I9" s="35"/>
      <c r="J9" s="35"/>
      <c r="K9" s="35"/>
      <c r="L9" s="36"/>
      <c r="M9" s="99"/>
      <c r="N9" s="35"/>
      <c r="O9" s="35"/>
      <c r="P9" s="35"/>
      <c r="Q9" s="38"/>
      <c r="R9" s="38"/>
      <c r="S9" s="38"/>
      <c r="T9" s="37"/>
      <c r="U9" s="37"/>
      <c r="V9" s="39"/>
    </row>
    <row r="10" spans="1:24" ht="18" customHeight="1" x14ac:dyDescent="0.3">
      <c r="A10" s="41" t="s">
        <v>25</v>
      </c>
      <c r="B10" s="80">
        <v>40373</v>
      </c>
      <c r="C10" s="100">
        <v>132.69999999999999</v>
      </c>
      <c r="D10" s="43">
        <v>3</v>
      </c>
      <c r="E10" s="43">
        <v>2</v>
      </c>
      <c r="F10" s="42">
        <f t="shared" ref="F10:F33" si="0">+C10*$B$6</f>
        <v>0</v>
      </c>
      <c r="G10" s="44">
        <f>+B10+(D10*365)</f>
        <v>41468</v>
      </c>
      <c r="H10" s="89">
        <v>42035</v>
      </c>
      <c r="I10" s="45">
        <f>+D10*12</f>
        <v>36</v>
      </c>
      <c r="J10" s="46">
        <f t="shared" ref="J10:J33" si="1">IF(K10&lt;1,SUM(I10-K10),SUM((H10-B10)/(365/12)))</f>
        <v>36</v>
      </c>
      <c r="K10" s="46">
        <f>IF(SUM(G10-H10)&lt;1,0,SUM((G10-H10))/(365/12))</f>
        <v>0</v>
      </c>
      <c r="L10" s="47">
        <f t="shared" ref="L10:L33" si="2">SUM(C10-F10)/I10</f>
        <v>3.6861111111111109</v>
      </c>
      <c r="M10" s="101">
        <f t="shared" ref="M10:M33" si="3">+L10*J10</f>
        <v>132.69999999999999</v>
      </c>
      <c r="N10" s="44">
        <f t="shared" ref="N10:N33" si="4">+B10+((P10*365)/12)</f>
        <v>41103</v>
      </c>
      <c r="O10" s="44">
        <v>42035</v>
      </c>
      <c r="P10" s="48">
        <v>24</v>
      </c>
      <c r="Q10" s="49">
        <f t="shared" ref="Q10:Q33" si="5">+P10-R10</f>
        <v>24</v>
      </c>
      <c r="R10" s="49">
        <f t="shared" ref="R10:R32" si="6">IF(SUM(N10-O10)&lt;1,0,SUM((N10-O10))/(365/12))</f>
        <v>0</v>
      </c>
      <c r="S10" s="50">
        <v>1</v>
      </c>
      <c r="T10" s="51">
        <f t="shared" ref="T10:T33" si="7">+S10*C10</f>
        <v>132.69999999999999</v>
      </c>
      <c r="U10" s="51">
        <f t="shared" ref="U10:U33" si="8">+T10/P10</f>
        <v>5.5291666666666659</v>
      </c>
      <c r="V10" s="52">
        <f>+U10*Q10</f>
        <v>132.69999999999999</v>
      </c>
      <c r="W10" s="4">
        <f>+V10-M10</f>
        <v>0</v>
      </c>
      <c r="X10" s="7"/>
    </row>
    <row r="11" spans="1:24" ht="18" customHeight="1" x14ac:dyDescent="0.3">
      <c r="A11" s="41" t="s">
        <v>26</v>
      </c>
      <c r="B11" s="80">
        <v>40373</v>
      </c>
      <c r="C11" s="100">
        <v>123.45</v>
      </c>
      <c r="D11" s="43">
        <v>3</v>
      </c>
      <c r="E11" s="43">
        <v>2</v>
      </c>
      <c r="F11" s="42">
        <f t="shared" si="0"/>
        <v>0</v>
      </c>
      <c r="G11" s="44">
        <f t="shared" ref="G11:G33" si="9">+B11+(D11*365)</f>
        <v>41468</v>
      </c>
      <c r="H11" s="89">
        <v>42035</v>
      </c>
      <c r="I11" s="45">
        <f t="shared" ref="I11:I33" si="10">+D11*12</f>
        <v>36</v>
      </c>
      <c r="J11" s="46">
        <f t="shared" si="1"/>
        <v>36</v>
      </c>
      <c r="K11" s="46">
        <f t="shared" ref="K11:K33" si="11">IF(SUM(G11-H11)&lt;1,0,SUM((G11-H11))/(365/12))</f>
        <v>0</v>
      </c>
      <c r="L11" s="47">
        <f t="shared" si="2"/>
        <v>3.4291666666666667</v>
      </c>
      <c r="M11" s="101">
        <f t="shared" si="3"/>
        <v>123.45</v>
      </c>
      <c r="N11" s="44">
        <f t="shared" si="4"/>
        <v>41103</v>
      </c>
      <c r="O11" s="44">
        <v>42035</v>
      </c>
      <c r="P11" s="48">
        <v>24</v>
      </c>
      <c r="Q11" s="49">
        <f t="shared" si="5"/>
        <v>24</v>
      </c>
      <c r="R11" s="49">
        <f t="shared" si="6"/>
        <v>0</v>
      </c>
      <c r="S11" s="50">
        <v>1</v>
      </c>
      <c r="T11" s="51">
        <f t="shared" si="7"/>
        <v>123.45</v>
      </c>
      <c r="U11" s="51">
        <f t="shared" si="8"/>
        <v>5.1437499999999998</v>
      </c>
      <c r="V11" s="52">
        <f t="shared" ref="V11:V33" si="12">+U11*Q11</f>
        <v>123.44999999999999</v>
      </c>
      <c r="W11" s="4">
        <f t="shared" ref="W11:W33" si="13">+V11-M11</f>
        <v>0</v>
      </c>
    </row>
    <row r="12" spans="1:24" ht="18" customHeight="1" x14ac:dyDescent="0.3">
      <c r="A12" s="41" t="s">
        <v>27</v>
      </c>
      <c r="B12" s="80">
        <v>40378</v>
      </c>
      <c r="C12" s="100">
        <v>88.5</v>
      </c>
      <c r="D12" s="43">
        <v>3</v>
      </c>
      <c r="E12" s="43">
        <v>2</v>
      </c>
      <c r="F12" s="42">
        <f t="shared" si="0"/>
        <v>0</v>
      </c>
      <c r="G12" s="44">
        <f t="shared" si="9"/>
        <v>41473</v>
      </c>
      <c r="H12" s="89">
        <v>42035</v>
      </c>
      <c r="I12" s="45">
        <f t="shared" si="10"/>
        <v>36</v>
      </c>
      <c r="J12" s="46">
        <f t="shared" si="1"/>
        <v>36</v>
      </c>
      <c r="K12" s="46">
        <f t="shared" si="11"/>
        <v>0</v>
      </c>
      <c r="L12" s="47">
        <f t="shared" si="2"/>
        <v>2.4583333333333335</v>
      </c>
      <c r="M12" s="101">
        <f t="shared" si="3"/>
        <v>88.5</v>
      </c>
      <c r="N12" s="44">
        <f t="shared" si="4"/>
        <v>41108</v>
      </c>
      <c r="O12" s="44">
        <v>42035</v>
      </c>
      <c r="P12" s="48">
        <v>24</v>
      </c>
      <c r="Q12" s="49">
        <f t="shared" si="5"/>
        <v>24</v>
      </c>
      <c r="R12" s="49">
        <f t="shared" si="6"/>
        <v>0</v>
      </c>
      <c r="S12" s="50">
        <v>1</v>
      </c>
      <c r="T12" s="51">
        <f t="shared" si="7"/>
        <v>88.5</v>
      </c>
      <c r="U12" s="51">
        <f t="shared" si="8"/>
        <v>3.6875</v>
      </c>
      <c r="V12" s="52">
        <f t="shared" si="12"/>
        <v>88.5</v>
      </c>
      <c r="W12" s="4">
        <f t="shared" si="13"/>
        <v>0</v>
      </c>
    </row>
    <row r="13" spans="1:24" ht="18" customHeight="1" x14ac:dyDescent="0.3">
      <c r="A13" s="41" t="s">
        <v>28</v>
      </c>
      <c r="B13" s="80">
        <v>40378</v>
      </c>
      <c r="C13" s="100">
        <v>18.579999999999998</v>
      </c>
      <c r="D13" s="43">
        <v>3</v>
      </c>
      <c r="E13" s="43">
        <v>2</v>
      </c>
      <c r="F13" s="42">
        <f t="shared" si="0"/>
        <v>0</v>
      </c>
      <c r="G13" s="44">
        <f t="shared" si="9"/>
        <v>41473</v>
      </c>
      <c r="H13" s="89">
        <v>42035</v>
      </c>
      <c r="I13" s="45">
        <f t="shared" si="10"/>
        <v>36</v>
      </c>
      <c r="J13" s="46">
        <f t="shared" si="1"/>
        <v>36</v>
      </c>
      <c r="K13" s="46">
        <f t="shared" si="11"/>
        <v>0</v>
      </c>
      <c r="L13" s="47">
        <f t="shared" si="2"/>
        <v>0.51611111111111108</v>
      </c>
      <c r="M13" s="101">
        <f t="shared" si="3"/>
        <v>18.579999999999998</v>
      </c>
      <c r="N13" s="44">
        <f t="shared" si="4"/>
        <v>41108</v>
      </c>
      <c r="O13" s="44">
        <v>42035</v>
      </c>
      <c r="P13" s="48">
        <v>24</v>
      </c>
      <c r="Q13" s="49">
        <f t="shared" si="5"/>
        <v>24</v>
      </c>
      <c r="R13" s="49">
        <f t="shared" si="6"/>
        <v>0</v>
      </c>
      <c r="S13" s="50">
        <v>1</v>
      </c>
      <c r="T13" s="51">
        <f t="shared" si="7"/>
        <v>18.579999999999998</v>
      </c>
      <c r="U13" s="51">
        <f t="shared" si="8"/>
        <v>0.77416666666666656</v>
      </c>
      <c r="V13" s="52">
        <f t="shared" si="12"/>
        <v>18.579999999999998</v>
      </c>
      <c r="W13" s="4">
        <f t="shared" si="13"/>
        <v>0</v>
      </c>
    </row>
    <row r="14" spans="1:24" ht="18" customHeight="1" x14ac:dyDescent="0.3">
      <c r="A14" s="41" t="s">
        <v>29</v>
      </c>
      <c r="B14" s="80">
        <v>40379</v>
      </c>
      <c r="C14" s="100">
        <v>50</v>
      </c>
      <c r="D14" s="43">
        <v>3</v>
      </c>
      <c r="E14" s="43">
        <v>2</v>
      </c>
      <c r="F14" s="42">
        <f t="shared" si="0"/>
        <v>0</v>
      </c>
      <c r="G14" s="44">
        <f t="shared" si="9"/>
        <v>41474</v>
      </c>
      <c r="H14" s="89">
        <v>42035</v>
      </c>
      <c r="I14" s="45">
        <f t="shared" si="10"/>
        <v>36</v>
      </c>
      <c r="J14" s="46">
        <f t="shared" si="1"/>
        <v>36</v>
      </c>
      <c r="K14" s="46">
        <f t="shared" si="11"/>
        <v>0</v>
      </c>
      <c r="L14" s="47">
        <f t="shared" si="2"/>
        <v>1.3888888888888888</v>
      </c>
      <c r="M14" s="101">
        <f t="shared" si="3"/>
        <v>50</v>
      </c>
      <c r="N14" s="44">
        <f t="shared" si="4"/>
        <v>41109</v>
      </c>
      <c r="O14" s="44">
        <v>42035</v>
      </c>
      <c r="P14" s="48">
        <v>24</v>
      </c>
      <c r="Q14" s="49">
        <f t="shared" si="5"/>
        <v>24</v>
      </c>
      <c r="R14" s="49">
        <f t="shared" si="6"/>
        <v>0</v>
      </c>
      <c r="S14" s="50">
        <v>1</v>
      </c>
      <c r="T14" s="51">
        <f t="shared" si="7"/>
        <v>50</v>
      </c>
      <c r="U14" s="51">
        <f t="shared" si="8"/>
        <v>2.0833333333333335</v>
      </c>
      <c r="V14" s="52">
        <f t="shared" si="12"/>
        <v>50</v>
      </c>
      <c r="W14" s="4">
        <f t="shared" si="13"/>
        <v>0</v>
      </c>
    </row>
    <row r="15" spans="1:24" ht="18" customHeight="1" x14ac:dyDescent="0.3">
      <c r="A15" s="41" t="s">
        <v>30</v>
      </c>
      <c r="B15" s="80">
        <v>40379</v>
      </c>
      <c r="C15" s="100">
        <v>85</v>
      </c>
      <c r="D15" s="43">
        <v>3</v>
      </c>
      <c r="E15" s="43">
        <v>2</v>
      </c>
      <c r="F15" s="42">
        <f t="shared" si="0"/>
        <v>0</v>
      </c>
      <c r="G15" s="44">
        <f t="shared" si="9"/>
        <v>41474</v>
      </c>
      <c r="H15" s="89">
        <v>42035</v>
      </c>
      <c r="I15" s="45">
        <f t="shared" si="10"/>
        <v>36</v>
      </c>
      <c r="J15" s="46">
        <f t="shared" si="1"/>
        <v>36</v>
      </c>
      <c r="K15" s="46">
        <f t="shared" si="11"/>
        <v>0</v>
      </c>
      <c r="L15" s="47">
        <f t="shared" si="2"/>
        <v>2.3611111111111112</v>
      </c>
      <c r="M15" s="101">
        <f t="shared" si="3"/>
        <v>85</v>
      </c>
      <c r="N15" s="44">
        <f t="shared" si="4"/>
        <v>41109</v>
      </c>
      <c r="O15" s="44">
        <v>42035</v>
      </c>
      <c r="P15" s="48">
        <v>24</v>
      </c>
      <c r="Q15" s="49">
        <f t="shared" si="5"/>
        <v>24</v>
      </c>
      <c r="R15" s="49">
        <f t="shared" si="6"/>
        <v>0</v>
      </c>
      <c r="S15" s="50">
        <v>1</v>
      </c>
      <c r="T15" s="51">
        <f t="shared" si="7"/>
        <v>85</v>
      </c>
      <c r="U15" s="51">
        <f t="shared" si="8"/>
        <v>3.5416666666666665</v>
      </c>
      <c r="V15" s="52">
        <f t="shared" si="12"/>
        <v>85</v>
      </c>
      <c r="W15" s="4">
        <f t="shared" si="13"/>
        <v>0</v>
      </c>
    </row>
    <row r="16" spans="1:24" ht="18" customHeight="1" x14ac:dyDescent="0.3">
      <c r="A16" s="41" t="s">
        <v>31</v>
      </c>
      <c r="B16" s="80">
        <v>40380</v>
      </c>
      <c r="C16" s="100">
        <f>281.42/2</f>
        <v>140.71</v>
      </c>
      <c r="D16" s="43">
        <v>3</v>
      </c>
      <c r="E16" s="43">
        <v>2</v>
      </c>
      <c r="F16" s="42">
        <f t="shared" si="0"/>
        <v>0</v>
      </c>
      <c r="G16" s="44">
        <f t="shared" si="9"/>
        <v>41475</v>
      </c>
      <c r="H16" s="89">
        <v>42035</v>
      </c>
      <c r="I16" s="45">
        <f t="shared" si="10"/>
        <v>36</v>
      </c>
      <c r="J16" s="46">
        <f t="shared" si="1"/>
        <v>36</v>
      </c>
      <c r="K16" s="46">
        <f t="shared" si="11"/>
        <v>0</v>
      </c>
      <c r="L16" s="47">
        <f t="shared" si="2"/>
        <v>3.9086111111111115</v>
      </c>
      <c r="M16" s="101">
        <f t="shared" si="3"/>
        <v>140.71</v>
      </c>
      <c r="N16" s="44">
        <f t="shared" si="4"/>
        <v>41110</v>
      </c>
      <c r="O16" s="44">
        <v>42035</v>
      </c>
      <c r="P16" s="48">
        <v>24</v>
      </c>
      <c r="Q16" s="49">
        <f t="shared" si="5"/>
        <v>24</v>
      </c>
      <c r="R16" s="49">
        <f t="shared" si="6"/>
        <v>0</v>
      </c>
      <c r="S16" s="50">
        <v>1</v>
      </c>
      <c r="T16" s="51">
        <f t="shared" si="7"/>
        <v>140.71</v>
      </c>
      <c r="U16" s="51">
        <f t="shared" si="8"/>
        <v>5.862916666666667</v>
      </c>
      <c r="V16" s="52">
        <f t="shared" si="12"/>
        <v>140.71</v>
      </c>
      <c r="W16" s="4">
        <f t="shared" si="13"/>
        <v>0</v>
      </c>
    </row>
    <row r="17" spans="1:23" ht="18" customHeight="1" x14ac:dyDescent="0.3">
      <c r="A17" s="41" t="s">
        <v>31</v>
      </c>
      <c r="B17" s="80">
        <v>40380</v>
      </c>
      <c r="C17" s="100">
        <f>281.42/2</f>
        <v>140.71</v>
      </c>
      <c r="D17" s="43">
        <v>3</v>
      </c>
      <c r="E17" s="43">
        <v>2</v>
      </c>
      <c r="F17" s="42">
        <f t="shared" si="0"/>
        <v>0</v>
      </c>
      <c r="G17" s="44">
        <f t="shared" si="9"/>
        <v>41475</v>
      </c>
      <c r="H17" s="89">
        <v>42035</v>
      </c>
      <c r="I17" s="45">
        <f t="shared" si="10"/>
        <v>36</v>
      </c>
      <c r="J17" s="46">
        <f t="shared" si="1"/>
        <v>36</v>
      </c>
      <c r="K17" s="46">
        <f t="shared" si="11"/>
        <v>0</v>
      </c>
      <c r="L17" s="47">
        <f t="shared" si="2"/>
        <v>3.9086111111111115</v>
      </c>
      <c r="M17" s="101">
        <f t="shared" si="3"/>
        <v>140.71</v>
      </c>
      <c r="N17" s="44">
        <f t="shared" si="4"/>
        <v>41110</v>
      </c>
      <c r="O17" s="44">
        <v>42035</v>
      </c>
      <c r="P17" s="48">
        <v>24</v>
      </c>
      <c r="Q17" s="49">
        <f t="shared" si="5"/>
        <v>24</v>
      </c>
      <c r="R17" s="49">
        <f t="shared" si="6"/>
        <v>0</v>
      </c>
      <c r="S17" s="50">
        <v>1</v>
      </c>
      <c r="T17" s="51">
        <f t="shared" si="7"/>
        <v>140.71</v>
      </c>
      <c r="U17" s="51">
        <f t="shared" si="8"/>
        <v>5.862916666666667</v>
      </c>
      <c r="V17" s="52">
        <f t="shared" si="12"/>
        <v>140.71</v>
      </c>
      <c r="W17" s="4">
        <f t="shared" si="13"/>
        <v>0</v>
      </c>
    </row>
    <row r="18" spans="1:23" ht="18" customHeight="1" x14ac:dyDescent="0.3">
      <c r="A18" s="41" t="s">
        <v>32</v>
      </c>
      <c r="B18" s="80">
        <v>40378</v>
      </c>
      <c r="C18" s="100">
        <v>617.70000000000005</v>
      </c>
      <c r="D18" s="43">
        <v>3</v>
      </c>
      <c r="E18" s="43">
        <v>2</v>
      </c>
      <c r="F18" s="42">
        <f t="shared" si="0"/>
        <v>0</v>
      </c>
      <c r="G18" s="44">
        <f t="shared" si="9"/>
        <v>41473</v>
      </c>
      <c r="H18" s="89">
        <v>42035</v>
      </c>
      <c r="I18" s="45">
        <f t="shared" si="10"/>
        <v>36</v>
      </c>
      <c r="J18" s="46">
        <f t="shared" si="1"/>
        <v>36</v>
      </c>
      <c r="K18" s="46">
        <f t="shared" si="11"/>
        <v>0</v>
      </c>
      <c r="L18" s="47">
        <f t="shared" si="2"/>
        <v>17.158333333333335</v>
      </c>
      <c r="M18" s="101">
        <f t="shared" si="3"/>
        <v>617.70000000000005</v>
      </c>
      <c r="N18" s="44">
        <f t="shared" si="4"/>
        <v>41108</v>
      </c>
      <c r="O18" s="44">
        <v>42035</v>
      </c>
      <c r="P18" s="48">
        <v>24</v>
      </c>
      <c r="Q18" s="49">
        <f t="shared" si="5"/>
        <v>24</v>
      </c>
      <c r="R18" s="49">
        <f t="shared" si="6"/>
        <v>0</v>
      </c>
      <c r="S18" s="50">
        <v>1</v>
      </c>
      <c r="T18" s="51">
        <f t="shared" si="7"/>
        <v>617.70000000000005</v>
      </c>
      <c r="U18" s="51">
        <f t="shared" si="8"/>
        <v>25.737500000000001</v>
      </c>
      <c r="V18" s="52">
        <f t="shared" si="12"/>
        <v>617.70000000000005</v>
      </c>
      <c r="W18" s="4">
        <f t="shared" si="13"/>
        <v>0</v>
      </c>
    </row>
    <row r="19" spans="1:23" ht="18" customHeight="1" x14ac:dyDescent="0.3">
      <c r="A19" s="41" t="s">
        <v>33</v>
      </c>
      <c r="B19" s="80">
        <v>40378</v>
      </c>
      <c r="C19" s="100">
        <v>48.62</v>
      </c>
      <c r="D19" s="43">
        <v>3</v>
      </c>
      <c r="E19" s="43">
        <v>2</v>
      </c>
      <c r="F19" s="42">
        <f t="shared" si="0"/>
        <v>0</v>
      </c>
      <c r="G19" s="44">
        <f t="shared" si="9"/>
        <v>41473</v>
      </c>
      <c r="H19" s="89">
        <v>42035</v>
      </c>
      <c r="I19" s="45">
        <f t="shared" si="10"/>
        <v>36</v>
      </c>
      <c r="J19" s="46">
        <f t="shared" si="1"/>
        <v>36</v>
      </c>
      <c r="K19" s="46">
        <f t="shared" si="11"/>
        <v>0</v>
      </c>
      <c r="L19" s="47">
        <f t="shared" si="2"/>
        <v>1.3505555555555555</v>
      </c>
      <c r="M19" s="101">
        <f t="shared" si="3"/>
        <v>48.62</v>
      </c>
      <c r="N19" s="44">
        <f t="shared" si="4"/>
        <v>41108</v>
      </c>
      <c r="O19" s="44">
        <v>42035</v>
      </c>
      <c r="P19" s="48">
        <v>24</v>
      </c>
      <c r="Q19" s="49">
        <f t="shared" si="5"/>
        <v>24</v>
      </c>
      <c r="R19" s="49">
        <f t="shared" si="6"/>
        <v>0</v>
      </c>
      <c r="S19" s="50">
        <v>1</v>
      </c>
      <c r="T19" s="51">
        <f t="shared" si="7"/>
        <v>48.62</v>
      </c>
      <c r="U19" s="51">
        <f t="shared" si="8"/>
        <v>2.0258333333333334</v>
      </c>
      <c r="V19" s="52">
        <f t="shared" si="12"/>
        <v>48.620000000000005</v>
      </c>
      <c r="W19" s="4">
        <f t="shared" si="13"/>
        <v>0</v>
      </c>
    </row>
    <row r="20" spans="1:23" ht="18" customHeight="1" x14ac:dyDescent="0.3">
      <c r="A20" s="41" t="s">
        <v>34</v>
      </c>
      <c r="B20" s="80">
        <v>40378</v>
      </c>
      <c r="C20" s="100">
        <v>431.86</v>
      </c>
      <c r="D20" s="43">
        <v>3</v>
      </c>
      <c r="E20" s="43">
        <v>2</v>
      </c>
      <c r="F20" s="42">
        <f t="shared" si="0"/>
        <v>0</v>
      </c>
      <c r="G20" s="44">
        <f t="shared" si="9"/>
        <v>41473</v>
      </c>
      <c r="H20" s="89">
        <v>42035</v>
      </c>
      <c r="I20" s="45">
        <f t="shared" si="10"/>
        <v>36</v>
      </c>
      <c r="J20" s="46">
        <f t="shared" si="1"/>
        <v>36</v>
      </c>
      <c r="K20" s="46">
        <f t="shared" si="11"/>
        <v>0</v>
      </c>
      <c r="L20" s="47">
        <f t="shared" si="2"/>
        <v>11.996111111111112</v>
      </c>
      <c r="M20" s="101">
        <f t="shared" si="3"/>
        <v>431.86</v>
      </c>
      <c r="N20" s="44">
        <f t="shared" si="4"/>
        <v>41108</v>
      </c>
      <c r="O20" s="44">
        <v>42035</v>
      </c>
      <c r="P20" s="48">
        <v>24</v>
      </c>
      <c r="Q20" s="49">
        <f t="shared" si="5"/>
        <v>24</v>
      </c>
      <c r="R20" s="49">
        <f t="shared" si="6"/>
        <v>0</v>
      </c>
      <c r="S20" s="50">
        <v>1</v>
      </c>
      <c r="T20" s="51">
        <f t="shared" si="7"/>
        <v>431.86</v>
      </c>
      <c r="U20" s="51">
        <f t="shared" si="8"/>
        <v>17.994166666666668</v>
      </c>
      <c r="V20" s="52">
        <f t="shared" si="12"/>
        <v>431.86</v>
      </c>
      <c r="W20" s="4">
        <f t="shared" si="13"/>
        <v>0</v>
      </c>
    </row>
    <row r="21" spans="1:23" ht="18" customHeight="1" x14ac:dyDescent="0.3">
      <c r="A21" s="41" t="s">
        <v>35</v>
      </c>
      <c r="B21" s="80">
        <v>40378</v>
      </c>
      <c r="C21" s="100">
        <v>48.62</v>
      </c>
      <c r="D21" s="43">
        <v>3</v>
      </c>
      <c r="E21" s="43">
        <v>2</v>
      </c>
      <c r="F21" s="42">
        <f t="shared" si="0"/>
        <v>0</v>
      </c>
      <c r="G21" s="44">
        <f t="shared" si="9"/>
        <v>41473</v>
      </c>
      <c r="H21" s="89">
        <v>42035</v>
      </c>
      <c r="I21" s="45">
        <f t="shared" si="10"/>
        <v>36</v>
      </c>
      <c r="J21" s="46">
        <f t="shared" si="1"/>
        <v>36</v>
      </c>
      <c r="K21" s="46">
        <f t="shared" si="11"/>
        <v>0</v>
      </c>
      <c r="L21" s="47">
        <f t="shared" si="2"/>
        <v>1.3505555555555555</v>
      </c>
      <c r="M21" s="101">
        <f t="shared" si="3"/>
        <v>48.62</v>
      </c>
      <c r="N21" s="44">
        <f t="shared" si="4"/>
        <v>41108</v>
      </c>
      <c r="O21" s="44">
        <v>42035</v>
      </c>
      <c r="P21" s="48">
        <v>24</v>
      </c>
      <c r="Q21" s="49">
        <f t="shared" si="5"/>
        <v>24</v>
      </c>
      <c r="R21" s="49">
        <f t="shared" si="6"/>
        <v>0</v>
      </c>
      <c r="S21" s="50">
        <v>1</v>
      </c>
      <c r="T21" s="51">
        <f t="shared" si="7"/>
        <v>48.62</v>
      </c>
      <c r="U21" s="51">
        <f t="shared" si="8"/>
        <v>2.0258333333333334</v>
      </c>
      <c r="V21" s="52">
        <f t="shared" si="12"/>
        <v>48.620000000000005</v>
      </c>
      <c r="W21" s="4">
        <f t="shared" si="13"/>
        <v>0</v>
      </c>
    </row>
    <row r="22" spans="1:23" ht="18" customHeight="1" x14ac:dyDescent="0.3">
      <c r="A22" s="41" t="s">
        <v>36</v>
      </c>
      <c r="B22" s="80">
        <v>40499</v>
      </c>
      <c r="C22" s="100">
        <v>488</v>
      </c>
      <c r="D22" s="43">
        <v>3</v>
      </c>
      <c r="E22" s="43">
        <v>2</v>
      </c>
      <c r="F22" s="42">
        <f t="shared" si="0"/>
        <v>0</v>
      </c>
      <c r="G22" s="44">
        <f t="shared" si="9"/>
        <v>41594</v>
      </c>
      <c r="H22" s="89">
        <v>42035</v>
      </c>
      <c r="I22" s="45">
        <f t="shared" si="10"/>
        <v>36</v>
      </c>
      <c r="J22" s="46">
        <f t="shared" si="1"/>
        <v>36</v>
      </c>
      <c r="K22" s="46">
        <f t="shared" si="11"/>
        <v>0</v>
      </c>
      <c r="L22" s="47">
        <f t="shared" si="2"/>
        <v>13.555555555555555</v>
      </c>
      <c r="M22" s="101">
        <f t="shared" si="3"/>
        <v>488</v>
      </c>
      <c r="N22" s="44">
        <f t="shared" si="4"/>
        <v>41229</v>
      </c>
      <c r="O22" s="44">
        <v>42035</v>
      </c>
      <c r="P22" s="48">
        <v>24</v>
      </c>
      <c r="Q22" s="49">
        <f t="shared" si="5"/>
        <v>24</v>
      </c>
      <c r="R22" s="49">
        <f t="shared" si="6"/>
        <v>0</v>
      </c>
      <c r="S22" s="50">
        <v>1</v>
      </c>
      <c r="T22" s="51">
        <f t="shared" si="7"/>
        <v>488</v>
      </c>
      <c r="U22" s="51">
        <f t="shared" si="8"/>
        <v>20.333333333333332</v>
      </c>
      <c r="V22" s="52">
        <f t="shared" si="12"/>
        <v>488</v>
      </c>
      <c r="W22" s="4">
        <f t="shared" si="13"/>
        <v>0</v>
      </c>
    </row>
    <row r="23" spans="1:23" ht="18" customHeight="1" x14ac:dyDescent="0.3">
      <c r="A23" s="41" t="s">
        <v>37</v>
      </c>
      <c r="B23" s="80">
        <v>40499</v>
      </c>
      <c r="C23" s="100">
        <v>49.75</v>
      </c>
      <c r="D23" s="43">
        <v>3</v>
      </c>
      <c r="E23" s="43">
        <v>2</v>
      </c>
      <c r="F23" s="42">
        <f t="shared" si="0"/>
        <v>0</v>
      </c>
      <c r="G23" s="44">
        <f t="shared" si="9"/>
        <v>41594</v>
      </c>
      <c r="H23" s="89">
        <v>42035</v>
      </c>
      <c r="I23" s="45">
        <f t="shared" si="10"/>
        <v>36</v>
      </c>
      <c r="J23" s="46">
        <f t="shared" si="1"/>
        <v>36</v>
      </c>
      <c r="K23" s="46">
        <f t="shared" si="11"/>
        <v>0</v>
      </c>
      <c r="L23" s="47">
        <f t="shared" si="2"/>
        <v>1.3819444444444444</v>
      </c>
      <c r="M23" s="101">
        <f t="shared" si="3"/>
        <v>49.75</v>
      </c>
      <c r="N23" s="44">
        <f t="shared" si="4"/>
        <v>41229</v>
      </c>
      <c r="O23" s="44">
        <v>42035</v>
      </c>
      <c r="P23" s="48">
        <v>24</v>
      </c>
      <c r="Q23" s="49">
        <f t="shared" si="5"/>
        <v>24</v>
      </c>
      <c r="R23" s="49">
        <f t="shared" si="6"/>
        <v>0</v>
      </c>
      <c r="S23" s="50">
        <v>1</v>
      </c>
      <c r="T23" s="51">
        <f t="shared" si="7"/>
        <v>49.75</v>
      </c>
      <c r="U23" s="51">
        <f t="shared" si="8"/>
        <v>2.0729166666666665</v>
      </c>
      <c r="V23" s="52">
        <f t="shared" si="12"/>
        <v>49.75</v>
      </c>
      <c r="W23" s="4">
        <f t="shared" si="13"/>
        <v>0</v>
      </c>
    </row>
    <row r="24" spans="1:23" ht="18" customHeight="1" x14ac:dyDescent="0.3">
      <c r="A24" s="41" t="s">
        <v>38</v>
      </c>
      <c r="B24" s="80">
        <v>40379</v>
      </c>
      <c r="C24" s="100">
        <v>216.81</v>
      </c>
      <c r="D24" s="43">
        <v>3</v>
      </c>
      <c r="E24" s="43">
        <v>2</v>
      </c>
      <c r="F24" s="42">
        <f t="shared" si="0"/>
        <v>0</v>
      </c>
      <c r="G24" s="44">
        <f t="shared" si="9"/>
        <v>41474</v>
      </c>
      <c r="H24" s="89">
        <v>42035</v>
      </c>
      <c r="I24" s="45">
        <f t="shared" si="10"/>
        <v>36</v>
      </c>
      <c r="J24" s="46">
        <f t="shared" si="1"/>
        <v>36</v>
      </c>
      <c r="K24" s="46">
        <f t="shared" si="11"/>
        <v>0</v>
      </c>
      <c r="L24" s="47">
        <f t="shared" si="2"/>
        <v>6.0225</v>
      </c>
      <c r="M24" s="101">
        <f t="shared" si="3"/>
        <v>216.81</v>
      </c>
      <c r="N24" s="44">
        <f t="shared" si="4"/>
        <v>41109</v>
      </c>
      <c r="O24" s="44">
        <v>42035</v>
      </c>
      <c r="P24" s="48">
        <v>24</v>
      </c>
      <c r="Q24" s="49">
        <f t="shared" si="5"/>
        <v>24</v>
      </c>
      <c r="R24" s="49">
        <f t="shared" si="6"/>
        <v>0</v>
      </c>
      <c r="S24" s="50">
        <v>1</v>
      </c>
      <c r="T24" s="51">
        <f t="shared" si="7"/>
        <v>216.81</v>
      </c>
      <c r="U24" s="51">
        <f t="shared" si="8"/>
        <v>9.0337499999999995</v>
      </c>
      <c r="V24" s="52">
        <f t="shared" si="12"/>
        <v>216.81</v>
      </c>
      <c r="W24" s="4">
        <f t="shared" si="13"/>
        <v>0</v>
      </c>
    </row>
    <row r="25" spans="1:23" ht="18" customHeight="1" x14ac:dyDescent="0.3">
      <c r="A25" s="41" t="s">
        <v>39</v>
      </c>
      <c r="B25" s="80">
        <v>40382</v>
      </c>
      <c r="C25" s="100">
        <v>212.4</v>
      </c>
      <c r="D25" s="43">
        <v>3</v>
      </c>
      <c r="E25" s="43">
        <v>2</v>
      </c>
      <c r="F25" s="42">
        <f t="shared" si="0"/>
        <v>0</v>
      </c>
      <c r="G25" s="44">
        <f t="shared" si="9"/>
        <v>41477</v>
      </c>
      <c r="H25" s="89">
        <v>42035</v>
      </c>
      <c r="I25" s="45">
        <f t="shared" si="10"/>
        <v>36</v>
      </c>
      <c r="J25" s="46">
        <f t="shared" si="1"/>
        <v>36</v>
      </c>
      <c r="K25" s="46">
        <f t="shared" si="11"/>
        <v>0</v>
      </c>
      <c r="L25" s="47">
        <f t="shared" si="2"/>
        <v>5.9</v>
      </c>
      <c r="M25" s="101">
        <f t="shared" si="3"/>
        <v>212.4</v>
      </c>
      <c r="N25" s="44">
        <f t="shared" si="4"/>
        <v>41112</v>
      </c>
      <c r="O25" s="44">
        <v>42035</v>
      </c>
      <c r="P25" s="48">
        <v>24</v>
      </c>
      <c r="Q25" s="49">
        <f t="shared" si="5"/>
        <v>24</v>
      </c>
      <c r="R25" s="49">
        <f t="shared" si="6"/>
        <v>0</v>
      </c>
      <c r="S25" s="50">
        <v>1</v>
      </c>
      <c r="T25" s="51">
        <f t="shared" si="7"/>
        <v>212.4</v>
      </c>
      <c r="U25" s="51">
        <f t="shared" si="8"/>
        <v>8.85</v>
      </c>
      <c r="V25" s="52">
        <f t="shared" si="12"/>
        <v>212.39999999999998</v>
      </c>
      <c r="W25" s="4">
        <f t="shared" si="13"/>
        <v>0</v>
      </c>
    </row>
    <row r="26" spans="1:23" ht="18" customHeight="1" x14ac:dyDescent="0.3">
      <c r="A26" s="41" t="s">
        <v>40</v>
      </c>
      <c r="B26" s="80">
        <v>40446</v>
      </c>
      <c r="C26" s="100">
        <v>442.5</v>
      </c>
      <c r="D26" s="43">
        <v>3</v>
      </c>
      <c r="E26" s="43">
        <v>2</v>
      </c>
      <c r="F26" s="42">
        <f t="shared" si="0"/>
        <v>0</v>
      </c>
      <c r="G26" s="44">
        <f t="shared" si="9"/>
        <v>41541</v>
      </c>
      <c r="H26" s="89">
        <v>42035</v>
      </c>
      <c r="I26" s="45">
        <f t="shared" si="10"/>
        <v>36</v>
      </c>
      <c r="J26" s="46">
        <f t="shared" si="1"/>
        <v>36</v>
      </c>
      <c r="K26" s="46">
        <f t="shared" si="11"/>
        <v>0</v>
      </c>
      <c r="L26" s="47">
        <f t="shared" si="2"/>
        <v>12.291666666666666</v>
      </c>
      <c r="M26" s="101">
        <f t="shared" si="3"/>
        <v>442.5</v>
      </c>
      <c r="N26" s="44">
        <f t="shared" si="4"/>
        <v>41176</v>
      </c>
      <c r="O26" s="44">
        <v>42035</v>
      </c>
      <c r="P26" s="48">
        <v>24</v>
      </c>
      <c r="Q26" s="49">
        <f t="shared" si="5"/>
        <v>24</v>
      </c>
      <c r="R26" s="49">
        <f t="shared" si="6"/>
        <v>0</v>
      </c>
      <c r="S26" s="50">
        <v>1</v>
      </c>
      <c r="T26" s="51">
        <f t="shared" si="7"/>
        <v>442.5</v>
      </c>
      <c r="U26" s="51">
        <f t="shared" si="8"/>
        <v>18.4375</v>
      </c>
      <c r="V26" s="52">
        <f t="shared" si="12"/>
        <v>442.5</v>
      </c>
      <c r="W26" s="4">
        <f t="shared" si="13"/>
        <v>0</v>
      </c>
    </row>
    <row r="27" spans="1:23" ht="18" customHeight="1" x14ac:dyDescent="0.3">
      <c r="A27" s="41" t="s">
        <v>41</v>
      </c>
      <c r="B27" s="80">
        <v>40446</v>
      </c>
      <c r="C27" s="100">
        <v>48.62</v>
      </c>
      <c r="D27" s="43">
        <v>3</v>
      </c>
      <c r="E27" s="43">
        <v>2</v>
      </c>
      <c r="F27" s="42">
        <f t="shared" si="0"/>
        <v>0</v>
      </c>
      <c r="G27" s="44">
        <f t="shared" si="9"/>
        <v>41541</v>
      </c>
      <c r="H27" s="89">
        <v>42035</v>
      </c>
      <c r="I27" s="45">
        <f t="shared" si="10"/>
        <v>36</v>
      </c>
      <c r="J27" s="46">
        <f t="shared" si="1"/>
        <v>36</v>
      </c>
      <c r="K27" s="46">
        <f t="shared" si="11"/>
        <v>0</v>
      </c>
      <c r="L27" s="47">
        <f t="shared" si="2"/>
        <v>1.3505555555555555</v>
      </c>
      <c r="M27" s="101">
        <f t="shared" si="3"/>
        <v>48.62</v>
      </c>
      <c r="N27" s="44">
        <f t="shared" si="4"/>
        <v>41176</v>
      </c>
      <c r="O27" s="44">
        <v>42035</v>
      </c>
      <c r="P27" s="48">
        <v>24</v>
      </c>
      <c r="Q27" s="49">
        <f t="shared" si="5"/>
        <v>24</v>
      </c>
      <c r="R27" s="49">
        <f t="shared" si="6"/>
        <v>0</v>
      </c>
      <c r="S27" s="50">
        <v>1</v>
      </c>
      <c r="T27" s="51">
        <f t="shared" si="7"/>
        <v>48.62</v>
      </c>
      <c r="U27" s="51">
        <f t="shared" si="8"/>
        <v>2.0258333333333334</v>
      </c>
      <c r="V27" s="52">
        <f t="shared" si="12"/>
        <v>48.620000000000005</v>
      </c>
      <c r="W27" s="4">
        <f t="shared" si="13"/>
        <v>0</v>
      </c>
    </row>
    <row r="28" spans="1:23" ht="18" customHeight="1" x14ac:dyDescent="0.3">
      <c r="A28" s="41" t="s">
        <v>42</v>
      </c>
      <c r="B28" s="80">
        <v>40596</v>
      </c>
      <c r="C28" s="100">
        <v>429.2</v>
      </c>
      <c r="D28" s="43">
        <v>3</v>
      </c>
      <c r="E28" s="43">
        <v>2</v>
      </c>
      <c r="F28" s="42">
        <f t="shared" si="0"/>
        <v>0</v>
      </c>
      <c r="G28" s="44">
        <f t="shared" si="9"/>
        <v>41691</v>
      </c>
      <c r="H28" s="89">
        <v>42035</v>
      </c>
      <c r="I28" s="45">
        <f t="shared" si="10"/>
        <v>36</v>
      </c>
      <c r="J28" s="46">
        <f t="shared" si="1"/>
        <v>36</v>
      </c>
      <c r="K28" s="46">
        <f t="shared" si="11"/>
        <v>0</v>
      </c>
      <c r="L28" s="47">
        <f t="shared" si="2"/>
        <v>11.922222222222222</v>
      </c>
      <c r="M28" s="101">
        <f t="shared" si="3"/>
        <v>429.2</v>
      </c>
      <c r="N28" s="44">
        <f t="shared" si="4"/>
        <v>41326</v>
      </c>
      <c r="O28" s="44">
        <v>42035</v>
      </c>
      <c r="P28" s="48">
        <v>24</v>
      </c>
      <c r="Q28" s="49">
        <f t="shared" si="5"/>
        <v>24</v>
      </c>
      <c r="R28" s="49">
        <f t="shared" si="6"/>
        <v>0</v>
      </c>
      <c r="S28" s="50">
        <v>1</v>
      </c>
      <c r="T28" s="51">
        <f t="shared" si="7"/>
        <v>429.2</v>
      </c>
      <c r="U28" s="51">
        <f t="shared" si="8"/>
        <v>17.883333333333333</v>
      </c>
      <c r="V28" s="52">
        <f t="shared" si="12"/>
        <v>429.2</v>
      </c>
      <c r="W28" s="4">
        <f t="shared" si="13"/>
        <v>0</v>
      </c>
    </row>
    <row r="29" spans="1:23" ht="18" customHeight="1" x14ac:dyDescent="0.3">
      <c r="A29" s="41" t="s">
        <v>43</v>
      </c>
      <c r="B29" s="80">
        <v>40596</v>
      </c>
      <c r="C29" s="100">
        <v>40</v>
      </c>
      <c r="D29" s="43">
        <v>3</v>
      </c>
      <c r="E29" s="43">
        <v>2</v>
      </c>
      <c r="F29" s="42">
        <f t="shared" si="0"/>
        <v>0</v>
      </c>
      <c r="G29" s="44">
        <f t="shared" si="9"/>
        <v>41691</v>
      </c>
      <c r="H29" s="89">
        <v>42035</v>
      </c>
      <c r="I29" s="45">
        <f t="shared" si="10"/>
        <v>36</v>
      </c>
      <c r="J29" s="46">
        <f t="shared" si="1"/>
        <v>36</v>
      </c>
      <c r="K29" s="46">
        <f t="shared" si="11"/>
        <v>0</v>
      </c>
      <c r="L29" s="47">
        <f t="shared" si="2"/>
        <v>1.1111111111111112</v>
      </c>
      <c r="M29" s="101">
        <f t="shared" si="3"/>
        <v>40</v>
      </c>
      <c r="N29" s="44">
        <f t="shared" si="4"/>
        <v>41326</v>
      </c>
      <c r="O29" s="44">
        <v>42035</v>
      </c>
      <c r="P29" s="48">
        <v>24</v>
      </c>
      <c r="Q29" s="49">
        <f t="shared" si="5"/>
        <v>24</v>
      </c>
      <c r="R29" s="49">
        <f t="shared" si="6"/>
        <v>0</v>
      </c>
      <c r="S29" s="50">
        <v>1</v>
      </c>
      <c r="T29" s="51">
        <f t="shared" si="7"/>
        <v>40</v>
      </c>
      <c r="U29" s="51">
        <f t="shared" si="8"/>
        <v>1.6666666666666667</v>
      </c>
      <c r="V29" s="52">
        <f t="shared" si="12"/>
        <v>40</v>
      </c>
      <c r="W29" s="4">
        <f t="shared" si="13"/>
        <v>0</v>
      </c>
    </row>
    <row r="30" spans="1:23" ht="18" customHeight="1" x14ac:dyDescent="0.3">
      <c r="A30" s="41" t="s">
        <v>44</v>
      </c>
      <c r="B30" s="80">
        <v>40598</v>
      </c>
      <c r="C30" s="100">
        <f>1041+287.02</f>
        <v>1328.02</v>
      </c>
      <c r="D30" s="43">
        <v>3</v>
      </c>
      <c r="E30" s="43">
        <v>2</v>
      </c>
      <c r="F30" s="42">
        <f t="shared" si="0"/>
        <v>0</v>
      </c>
      <c r="G30" s="44">
        <f t="shared" si="9"/>
        <v>41693</v>
      </c>
      <c r="H30" s="89">
        <v>42035</v>
      </c>
      <c r="I30" s="45">
        <f t="shared" si="10"/>
        <v>36</v>
      </c>
      <c r="J30" s="46">
        <f t="shared" si="1"/>
        <v>36</v>
      </c>
      <c r="K30" s="46">
        <f t="shared" si="11"/>
        <v>0</v>
      </c>
      <c r="L30" s="47">
        <f t="shared" si="2"/>
        <v>36.889444444444443</v>
      </c>
      <c r="M30" s="101">
        <f t="shared" si="3"/>
        <v>1328.02</v>
      </c>
      <c r="N30" s="44">
        <f t="shared" si="4"/>
        <v>41328</v>
      </c>
      <c r="O30" s="44">
        <v>42035</v>
      </c>
      <c r="P30" s="48">
        <v>24</v>
      </c>
      <c r="Q30" s="49">
        <f t="shared" si="5"/>
        <v>24</v>
      </c>
      <c r="R30" s="49">
        <f t="shared" si="6"/>
        <v>0</v>
      </c>
      <c r="S30" s="50">
        <v>1</v>
      </c>
      <c r="T30" s="51">
        <f t="shared" si="7"/>
        <v>1328.02</v>
      </c>
      <c r="U30" s="51">
        <f t="shared" si="8"/>
        <v>55.334166666666668</v>
      </c>
      <c r="V30" s="52">
        <f t="shared" si="12"/>
        <v>1328.02</v>
      </c>
      <c r="W30" s="4">
        <f t="shared" si="13"/>
        <v>0</v>
      </c>
    </row>
    <row r="31" spans="1:23" ht="18" customHeight="1" x14ac:dyDescent="0.3">
      <c r="A31" s="41" t="s">
        <v>45</v>
      </c>
      <c r="B31" s="80">
        <v>40641</v>
      </c>
      <c r="C31" s="100">
        <v>680.97</v>
      </c>
      <c r="D31" s="43">
        <v>3</v>
      </c>
      <c r="E31" s="43">
        <v>2</v>
      </c>
      <c r="F31" s="42">
        <f t="shared" si="0"/>
        <v>0</v>
      </c>
      <c r="G31" s="44">
        <f t="shared" si="9"/>
        <v>41736</v>
      </c>
      <c r="H31" s="89">
        <v>42035</v>
      </c>
      <c r="I31" s="45">
        <f t="shared" si="10"/>
        <v>36</v>
      </c>
      <c r="J31" s="46">
        <f t="shared" si="1"/>
        <v>36</v>
      </c>
      <c r="K31" s="46">
        <f t="shared" si="11"/>
        <v>0</v>
      </c>
      <c r="L31" s="47">
        <f t="shared" si="2"/>
        <v>18.915833333333335</v>
      </c>
      <c r="M31" s="101">
        <f t="shared" si="3"/>
        <v>680.97</v>
      </c>
      <c r="N31" s="44">
        <f t="shared" si="4"/>
        <v>41371</v>
      </c>
      <c r="O31" s="44">
        <v>42035</v>
      </c>
      <c r="P31" s="48">
        <v>24</v>
      </c>
      <c r="Q31" s="49">
        <f t="shared" si="5"/>
        <v>24</v>
      </c>
      <c r="R31" s="49">
        <f t="shared" si="6"/>
        <v>0</v>
      </c>
      <c r="S31" s="50">
        <v>1</v>
      </c>
      <c r="T31" s="51">
        <f t="shared" si="7"/>
        <v>680.97</v>
      </c>
      <c r="U31" s="51">
        <f t="shared" si="8"/>
        <v>28.373750000000001</v>
      </c>
      <c r="V31" s="52">
        <f t="shared" si="12"/>
        <v>680.97</v>
      </c>
      <c r="W31" s="4">
        <f t="shared" si="13"/>
        <v>0</v>
      </c>
    </row>
    <row r="32" spans="1:23" ht="18" customHeight="1" x14ac:dyDescent="0.3">
      <c r="A32" s="41" t="s">
        <v>26</v>
      </c>
      <c r="B32" s="80">
        <v>40674</v>
      </c>
      <c r="C32" s="100">
        <v>148.66999999999999</v>
      </c>
      <c r="D32" s="43">
        <v>3</v>
      </c>
      <c r="E32" s="43">
        <v>2</v>
      </c>
      <c r="F32" s="42">
        <f t="shared" si="0"/>
        <v>0</v>
      </c>
      <c r="G32" s="44">
        <f t="shared" si="9"/>
        <v>41769</v>
      </c>
      <c r="H32" s="89">
        <v>42035</v>
      </c>
      <c r="I32" s="45">
        <f t="shared" si="10"/>
        <v>36</v>
      </c>
      <c r="J32" s="46">
        <f t="shared" si="1"/>
        <v>36</v>
      </c>
      <c r="K32" s="46">
        <f t="shared" si="11"/>
        <v>0</v>
      </c>
      <c r="L32" s="47">
        <f t="shared" si="2"/>
        <v>4.1297222222222221</v>
      </c>
      <c r="M32" s="101">
        <f t="shared" si="3"/>
        <v>148.66999999999999</v>
      </c>
      <c r="N32" s="44">
        <f t="shared" si="4"/>
        <v>41404</v>
      </c>
      <c r="O32" s="44">
        <v>42035</v>
      </c>
      <c r="P32" s="48">
        <v>24</v>
      </c>
      <c r="Q32" s="49">
        <f t="shared" si="5"/>
        <v>24</v>
      </c>
      <c r="R32" s="49">
        <f t="shared" si="6"/>
        <v>0</v>
      </c>
      <c r="S32" s="50">
        <v>1</v>
      </c>
      <c r="T32" s="51">
        <f t="shared" si="7"/>
        <v>148.66999999999999</v>
      </c>
      <c r="U32" s="51">
        <f t="shared" si="8"/>
        <v>6.1945833333333331</v>
      </c>
      <c r="V32" s="52">
        <f t="shared" si="12"/>
        <v>148.66999999999999</v>
      </c>
      <c r="W32" s="4">
        <f t="shared" si="13"/>
        <v>0</v>
      </c>
    </row>
    <row r="33" spans="1:23" ht="18" customHeight="1" x14ac:dyDescent="0.3">
      <c r="A33" s="41" t="s">
        <v>46</v>
      </c>
      <c r="B33" s="80">
        <v>40976</v>
      </c>
      <c r="C33" s="100">
        <v>100</v>
      </c>
      <c r="D33" s="43">
        <v>3</v>
      </c>
      <c r="E33" s="43">
        <v>2</v>
      </c>
      <c r="F33" s="42">
        <f t="shared" si="0"/>
        <v>0</v>
      </c>
      <c r="G33" s="44">
        <f t="shared" si="9"/>
        <v>42071</v>
      </c>
      <c r="H33" s="89">
        <v>42035</v>
      </c>
      <c r="I33" s="45">
        <f t="shared" si="10"/>
        <v>36</v>
      </c>
      <c r="J33" s="46">
        <f t="shared" si="1"/>
        <v>34.816438356164383</v>
      </c>
      <c r="K33" s="46">
        <f t="shared" si="11"/>
        <v>1.1835616438356165</v>
      </c>
      <c r="L33" s="47">
        <f t="shared" si="2"/>
        <v>2.7777777777777777</v>
      </c>
      <c r="M33" s="101">
        <f t="shared" si="3"/>
        <v>96.712328767123282</v>
      </c>
      <c r="N33" s="44">
        <f t="shared" si="4"/>
        <v>41706</v>
      </c>
      <c r="O33" s="44">
        <v>42035</v>
      </c>
      <c r="P33" s="48">
        <v>24</v>
      </c>
      <c r="Q33" s="49">
        <f t="shared" si="5"/>
        <v>24</v>
      </c>
      <c r="R33" s="49">
        <f>IF(SUM(N33-O33)&lt;1,0,SUM((N33-O33))/(365/12))</f>
        <v>0</v>
      </c>
      <c r="S33" s="50">
        <v>1</v>
      </c>
      <c r="T33" s="51">
        <f t="shared" si="7"/>
        <v>100</v>
      </c>
      <c r="U33" s="51">
        <f t="shared" si="8"/>
        <v>4.166666666666667</v>
      </c>
      <c r="V33" s="52">
        <f t="shared" si="12"/>
        <v>100</v>
      </c>
      <c r="W33" s="4">
        <f t="shared" si="13"/>
        <v>3.2876712328767184</v>
      </c>
    </row>
    <row r="34" spans="1:23" ht="18" customHeight="1" x14ac:dyDescent="0.3">
      <c r="A34" s="54" t="s">
        <v>47</v>
      </c>
      <c r="B34" s="81"/>
      <c r="C34" s="102">
        <f>SUM(C10:C33)</f>
        <v>6111.39</v>
      </c>
      <c r="D34" s="56"/>
      <c r="E34" s="55"/>
      <c r="F34" s="57"/>
      <c r="G34" s="58" t="s">
        <v>48</v>
      </c>
      <c r="H34" s="90"/>
      <c r="I34" s="59"/>
      <c r="J34" s="60"/>
      <c r="K34" s="46"/>
      <c r="L34" s="61">
        <f>SUM(L10:L33)</f>
        <v>169.76083333333332</v>
      </c>
      <c r="M34" s="103">
        <f>SUM(M10:M33)</f>
        <v>6108.1023287671233</v>
      </c>
      <c r="N34" s="48"/>
      <c r="O34" s="48"/>
      <c r="P34" s="48"/>
      <c r="Q34" s="49"/>
      <c r="R34" s="49"/>
      <c r="S34" s="49"/>
      <c r="T34" s="51"/>
      <c r="U34" s="62">
        <f>SUM(U10:U33)</f>
        <v>254.64124999999996</v>
      </c>
      <c r="V34" s="63">
        <f>SUM(V10:V33)</f>
        <v>6111.39</v>
      </c>
      <c r="W34" s="119"/>
    </row>
    <row r="35" spans="1:23" ht="18" customHeight="1" x14ac:dyDescent="0.3">
      <c r="A35" s="43" t="s">
        <v>49</v>
      </c>
      <c r="B35" s="82"/>
      <c r="C35" s="104">
        <v>6111.39</v>
      </c>
      <c r="D35" s="43"/>
      <c r="E35" s="53"/>
      <c r="F35" s="42"/>
      <c r="G35" s="48"/>
      <c r="H35" s="86"/>
      <c r="I35" s="45"/>
      <c r="J35" s="64"/>
      <c r="K35" s="46"/>
      <c r="L35" s="47"/>
      <c r="M35" s="105">
        <v>6105.27</v>
      </c>
      <c r="N35" s="48"/>
      <c r="O35" s="48"/>
      <c r="P35" s="48"/>
      <c r="Q35" s="49"/>
      <c r="R35" s="49"/>
      <c r="S35" s="49"/>
      <c r="T35" s="51"/>
      <c r="U35" s="51"/>
      <c r="V35" s="63">
        <v>6142.05</v>
      </c>
    </row>
    <row r="36" spans="1:23" ht="18" customHeight="1" x14ac:dyDescent="0.3">
      <c r="A36" s="43" t="s">
        <v>50</v>
      </c>
      <c r="B36" s="82"/>
      <c r="C36" s="102">
        <f>C34-C35</f>
        <v>0</v>
      </c>
      <c r="D36" s="56"/>
      <c r="E36" s="55"/>
      <c r="F36" s="57"/>
      <c r="G36" s="48"/>
      <c r="H36" s="86"/>
      <c r="I36" s="45"/>
      <c r="J36" s="64"/>
      <c r="K36" s="46"/>
      <c r="L36" s="47"/>
      <c r="M36" s="105">
        <f>M34-M35</f>
        <v>2.8323287671228172</v>
      </c>
      <c r="N36" s="48"/>
      <c r="O36" s="48"/>
      <c r="P36" s="48"/>
      <c r="Q36" s="49"/>
      <c r="R36" s="49"/>
      <c r="S36" s="49"/>
      <c r="T36" s="51"/>
      <c r="U36" s="51"/>
      <c r="V36" s="63">
        <f>V34-V35</f>
        <v>-30.659999999999854</v>
      </c>
    </row>
    <row r="37" spans="1:23" ht="18" customHeight="1" x14ac:dyDescent="0.3">
      <c r="A37" s="48"/>
      <c r="B37" s="65"/>
      <c r="C37" s="106"/>
      <c r="D37" s="48"/>
      <c r="E37" s="66"/>
      <c r="F37" s="67"/>
      <c r="G37" s="48"/>
      <c r="H37" s="86"/>
      <c r="I37" s="45"/>
      <c r="J37" s="64"/>
      <c r="K37" s="46"/>
      <c r="L37" s="47"/>
      <c r="M37" s="101"/>
      <c r="N37" s="48"/>
      <c r="O37" s="48"/>
      <c r="P37" s="48"/>
      <c r="Q37" s="49"/>
      <c r="R37" s="49"/>
      <c r="S37" s="49"/>
      <c r="T37" s="51"/>
      <c r="U37" s="51"/>
      <c r="V37" s="52"/>
    </row>
    <row r="38" spans="1:23" ht="30.75" customHeight="1" x14ac:dyDescent="0.3">
      <c r="A38" s="68" t="s">
        <v>6</v>
      </c>
      <c r="B38" s="69" t="s">
        <v>7</v>
      </c>
      <c r="C38" s="107" t="s">
        <v>8</v>
      </c>
      <c r="D38" s="68" t="s">
        <v>9</v>
      </c>
      <c r="E38" s="68" t="s">
        <v>10</v>
      </c>
      <c r="F38" s="68" t="s">
        <v>11</v>
      </c>
      <c r="G38" s="48"/>
      <c r="H38" s="86"/>
      <c r="I38" s="45"/>
      <c r="J38" s="64"/>
      <c r="K38" s="46"/>
      <c r="L38" s="47"/>
      <c r="M38" s="101"/>
      <c r="N38" s="48"/>
      <c r="O38" s="48"/>
      <c r="P38" s="48"/>
      <c r="Q38" s="49"/>
      <c r="R38" s="49"/>
      <c r="S38" s="49"/>
      <c r="T38" s="51"/>
      <c r="U38" s="51"/>
      <c r="V38" s="52"/>
    </row>
    <row r="39" spans="1:23" ht="18" customHeight="1" x14ac:dyDescent="0.3">
      <c r="A39" s="70" t="s">
        <v>51</v>
      </c>
      <c r="B39" s="82"/>
      <c r="C39" s="104"/>
      <c r="D39" s="43"/>
      <c r="E39" s="53"/>
      <c r="F39" s="42"/>
      <c r="G39" s="48"/>
      <c r="H39" s="86"/>
      <c r="I39" s="45"/>
      <c r="J39" s="64"/>
      <c r="K39" s="46"/>
      <c r="L39" s="47"/>
      <c r="M39" s="101"/>
      <c r="N39" s="48"/>
      <c r="O39" s="48"/>
      <c r="P39" s="48"/>
      <c r="Q39" s="49"/>
      <c r="R39" s="49"/>
      <c r="S39" s="49"/>
      <c r="T39" s="51"/>
      <c r="U39" s="51"/>
      <c r="V39" s="52"/>
    </row>
    <row r="40" spans="1:23" ht="18" customHeight="1" x14ac:dyDescent="0.3">
      <c r="A40" s="41" t="s">
        <v>52</v>
      </c>
      <c r="B40" s="80">
        <v>40478</v>
      </c>
      <c r="C40" s="100">
        <v>5000</v>
      </c>
      <c r="D40" s="43">
        <v>5</v>
      </c>
      <c r="E40" s="42">
        <v>5</v>
      </c>
      <c r="F40" s="42">
        <v>4000</v>
      </c>
      <c r="G40" s="44">
        <f t="shared" ref="G40:G41" si="14">+B40+(D40*365)</f>
        <v>42303</v>
      </c>
      <c r="H40" s="89">
        <v>42035</v>
      </c>
      <c r="I40" s="45">
        <f>+D40*12</f>
        <v>60</v>
      </c>
      <c r="J40" s="46">
        <f>IF(K40&lt;1,SUM(I40-K40),SUM((H40-B40)/(365/12)))</f>
        <v>51.18904109589041</v>
      </c>
      <c r="K40" s="46">
        <f>IF(SUM(G40-H40)&lt;1,0,SUM((G40-H40))/(365/12))</f>
        <v>8.8109589041095884</v>
      </c>
      <c r="L40" s="47">
        <f>SUM(C40-F40)/I40</f>
        <v>16.666666666666668</v>
      </c>
      <c r="M40" s="101">
        <f>+L40*J40</f>
        <v>853.15068493150693</v>
      </c>
      <c r="N40" s="44">
        <f>+B40+((P40*365)/12)</f>
        <v>42303</v>
      </c>
      <c r="O40" s="44">
        <v>42035</v>
      </c>
      <c r="P40" s="48">
        <f>5*12</f>
        <v>60</v>
      </c>
      <c r="Q40" s="49">
        <f>+P40-R40</f>
        <v>51.18904109589041</v>
      </c>
      <c r="R40" s="49">
        <f>IF(SUM(N40-O40)&lt;1,0,SUM((N40-O40))/(365/12))</f>
        <v>8.8109589041095884</v>
      </c>
      <c r="S40" s="50">
        <v>0.2</v>
      </c>
      <c r="T40" s="51">
        <f>+S40*C40</f>
        <v>1000</v>
      </c>
      <c r="U40" s="51">
        <f>+T40/P40</f>
        <v>16.666666666666668</v>
      </c>
      <c r="V40" s="52">
        <f>+U40*Q40</f>
        <v>853.15068493150693</v>
      </c>
      <c r="W40" s="4">
        <f t="shared" ref="W40:W41" si="15">+V40-M40</f>
        <v>0</v>
      </c>
    </row>
    <row r="41" spans="1:23" ht="18" customHeight="1" x14ac:dyDescent="0.3">
      <c r="A41" s="41" t="s">
        <v>53</v>
      </c>
      <c r="B41" s="80">
        <v>40597</v>
      </c>
      <c r="C41" s="100">
        <v>6000</v>
      </c>
      <c r="D41" s="43">
        <v>4</v>
      </c>
      <c r="E41" s="42">
        <v>4</v>
      </c>
      <c r="F41" s="42">
        <v>4800</v>
      </c>
      <c r="G41" s="44">
        <f t="shared" si="14"/>
        <v>42057</v>
      </c>
      <c r="H41" s="89">
        <v>42035</v>
      </c>
      <c r="I41" s="45">
        <f>+D41*12</f>
        <v>48</v>
      </c>
      <c r="J41" s="46">
        <f>IF(K41&lt;1,SUM(I41-K41),SUM((H41-B41)/(365/12)))</f>
        <v>47.276712328767125</v>
      </c>
      <c r="K41" s="46">
        <f t="shared" ref="K41" si="16">IF(SUM(G41-H41)&lt;1,0,SUM((G41-H41))/(365/12))</f>
        <v>0.72328767123287674</v>
      </c>
      <c r="L41" s="47">
        <f>SUM(C41-F41)/I41</f>
        <v>25</v>
      </c>
      <c r="M41" s="101">
        <f>+L41*J41</f>
        <v>1181.9178082191781</v>
      </c>
      <c r="N41" s="44">
        <f>+B41+((P41*365)/12)</f>
        <v>42057</v>
      </c>
      <c r="O41" s="44">
        <v>42035</v>
      </c>
      <c r="P41" s="48">
        <f>4*12</f>
        <v>48</v>
      </c>
      <c r="Q41" s="49">
        <f>+P41-R41</f>
        <v>47.276712328767125</v>
      </c>
      <c r="R41" s="49">
        <f>IF(SUM(N41-O41)&lt;1,0,SUM((N41-O41))/(365/12))</f>
        <v>0.72328767123287674</v>
      </c>
      <c r="S41" s="50">
        <v>0.2</v>
      </c>
      <c r="T41" s="51">
        <f>+S41*C41</f>
        <v>1200</v>
      </c>
      <c r="U41" s="51">
        <f>+T41/P41</f>
        <v>25</v>
      </c>
      <c r="V41" s="52">
        <f>+U41*Q41</f>
        <v>1181.9178082191781</v>
      </c>
      <c r="W41" s="4">
        <f t="shared" si="15"/>
        <v>0</v>
      </c>
    </row>
    <row r="42" spans="1:23" ht="18" customHeight="1" x14ac:dyDescent="0.3">
      <c r="A42" s="54" t="s">
        <v>47</v>
      </c>
      <c r="B42" s="81"/>
      <c r="C42" s="108">
        <f>SUM(C40:C41)</f>
        <v>11000</v>
      </c>
      <c r="D42" s="43"/>
      <c r="E42" s="57"/>
      <c r="F42" s="42"/>
      <c r="G42" s="58" t="s">
        <v>54</v>
      </c>
      <c r="H42" s="90"/>
      <c r="I42" s="59"/>
      <c r="J42" s="60"/>
      <c r="K42" s="46"/>
      <c r="L42" s="61">
        <f>SUM(L40:L41)</f>
        <v>41.666666666666671</v>
      </c>
      <c r="M42" s="103">
        <f>SUM(M40:M41)</f>
        <v>2035.0684931506851</v>
      </c>
      <c r="N42" s="48"/>
      <c r="O42" s="48"/>
      <c r="P42" s="48"/>
      <c r="Q42" s="49"/>
      <c r="R42" s="49"/>
      <c r="S42" s="49"/>
      <c r="T42" s="51"/>
      <c r="U42" s="51"/>
      <c r="V42" s="63">
        <f>SUM(V40:V41)</f>
        <v>2035.0684931506851</v>
      </c>
      <c r="W42" s="4">
        <f>SUM(W40:W41)</f>
        <v>0</v>
      </c>
    </row>
    <row r="43" spans="1:23" ht="18" customHeight="1" x14ac:dyDescent="0.3">
      <c r="A43" s="43" t="s">
        <v>49</v>
      </c>
      <c r="B43" s="82"/>
      <c r="C43" s="100">
        <v>11000</v>
      </c>
      <c r="D43" s="43"/>
      <c r="E43" s="42"/>
      <c r="F43" s="42"/>
      <c r="G43" s="48"/>
      <c r="H43" s="86"/>
      <c r="I43" s="45"/>
      <c r="J43" s="64"/>
      <c r="K43" s="48"/>
      <c r="L43" s="47"/>
      <c r="M43" s="109">
        <v>1992.6</v>
      </c>
      <c r="N43" s="48"/>
      <c r="O43" s="48"/>
      <c r="P43" s="48"/>
      <c r="Q43" s="49"/>
      <c r="R43" s="49"/>
      <c r="S43" s="49"/>
      <c r="T43" s="51"/>
      <c r="U43" s="51"/>
      <c r="V43" s="71">
        <v>2068.4499999999998</v>
      </c>
    </row>
    <row r="44" spans="1:23" ht="18" customHeight="1" x14ac:dyDescent="0.3">
      <c r="A44" s="43" t="s">
        <v>50</v>
      </c>
      <c r="B44" s="82"/>
      <c r="C44" s="108">
        <f>C42-C43</f>
        <v>0</v>
      </c>
      <c r="D44" s="56"/>
      <c r="E44" s="57"/>
      <c r="F44" s="57"/>
      <c r="G44" s="48"/>
      <c r="H44" s="86"/>
      <c r="I44" s="64"/>
      <c r="J44" s="64"/>
      <c r="K44" s="48"/>
      <c r="L44" s="47"/>
      <c r="M44" s="105">
        <f>M42-M43</f>
        <v>42.468493150685163</v>
      </c>
      <c r="N44" s="48"/>
      <c r="O44" s="48"/>
      <c r="P44" s="48"/>
      <c r="Q44" s="49"/>
      <c r="R44" s="49"/>
      <c r="S44" s="49"/>
      <c r="T44" s="51"/>
      <c r="U44" s="51"/>
      <c r="V44" s="71">
        <f>V42-V43</f>
        <v>-33.381506849314746</v>
      </c>
    </row>
    <row r="45" spans="1:23" ht="18" customHeight="1" x14ac:dyDescent="0.3">
      <c r="A45" s="48"/>
      <c r="B45" s="65"/>
      <c r="C45" s="106"/>
      <c r="D45" s="48"/>
      <c r="E45" s="66"/>
      <c r="F45" s="67"/>
      <c r="G45" s="48"/>
      <c r="H45" s="86"/>
      <c r="I45" s="64"/>
      <c r="J45" s="64"/>
      <c r="K45" s="48"/>
      <c r="L45" s="47"/>
      <c r="M45" s="101"/>
      <c r="N45" s="48"/>
      <c r="O45" s="48"/>
      <c r="P45" s="48"/>
      <c r="Q45" s="49"/>
      <c r="R45" s="49"/>
      <c r="S45" s="49"/>
      <c r="T45" s="51"/>
      <c r="U45" s="51"/>
      <c r="V45" s="52"/>
    </row>
    <row r="46" spans="1:23" ht="26.4" x14ac:dyDescent="0.3">
      <c r="A46" s="68" t="s">
        <v>6</v>
      </c>
      <c r="B46" s="69" t="s">
        <v>7</v>
      </c>
      <c r="C46" s="107" t="s">
        <v>8</v>
      </c>
      <c r="D46" s="68" t="s">
        <v>9</v>
      </c>
      <c r="E46" s="68" t="s">
        <v>10</v>
      </c>
      <c r="F46" s="68" t="s">
        <v>11</v>
      </c>
      <c r="G46" s="48"/>
      <c r="H46" s="86"/>
      <c r="I46" s="64"/>
      <c r="J46" s="64"/>
      <c r="K46" s="48"/>
      <c r="L46" s="47"/>
      <c r="M46" s="101"/>
      <c r="N46" s="48"/>
      <c r="O46" s="48"/>
      <c r="P46" s="48"/>
      <c r="Q46" s="49"/>
      <c r="R46" s="49"/>
      <c r="S46" s="49"/>
      <c r="T46" s="51"/>
      <c r="U46" s="51"/>
      <c r="V46" s="52"/>
    </row>
    <row r="47" spans="1:23" x14ac:dyDescent="0.3">
      <c r="A47" s="70" t="s">
        <v>55</v>
      </c>
      <c r="B47" s="82"/>
      <c r="C47" s="104"/>
      <c r="D47" s="43"/>
      <c r="E47" s="53"/>
      <c r="F47" s="42"/>
      <c r="G47" s="48"/>
      <c r="H47" s="86"/>
      <c r="I47" s="64"/>
      <c r="J47" s="64"/>
      <c r="K47" s="48"/>
      <c r="L47" s="47"/>
      <c r="M47" s="101"/>
      <c r="N47" s="48"/>
      <c r="O47" s="48"/>
      <c r="P47" s="48"/>
      <c r="Q47" s="49"/>
      <c r="R47" s="49"/>
      <c r="S47" s="49"/>
      <c r="T47" s="51"/>
      <c r="U47" s="51"/>
      <c r="V47" s="52"/>
    </row>
    <row r="48" spans="1:23" x14ac:dyDescent="0.3">
      <c r="A48" s="41" t="s">
        <v>56</v>
      </c>
      <c r="B48" s="80">
        <v>41518</v>
      </c>
      <c r="C48" s="100">
        <v>18111.439999999999</v>
      </c>
      <c r="D48" s="43">
        <v>15</v>
      </c>
      <c r="E48" s="42">
        <v>5</v>
      </c>
      <c r="F48" s="42">
        <f>+C48*15%</f>
        <v>2716.7159999999999</v>
      </c>
      <c r="G48" s="44">
        <f>+B48+(D48*365)</f>
        <v>46993</v>
      </c>
      <c r="H48" s="89">
        <v>42035</v>
      </c>
      <c r="I48" s="45">
        <f t="shared" ref="I48" si="17">+D48*12</f>
        <v>180</v>
      </c>
      <c r="J48" s="46">
        <f>IF(K48&lt;1,SUM(I48-K48),SUM((H48-B48)/(365/12)))</f>
        <v>16.997260273972604</v>
      </c>
      <c r="K48" s="46">
        <f>IF(SUM(G48-H48)&lt;1,0,SUM((G48-H48))/(365/12))</f>
        <v>163.00273972602739</v>
      </c>
      <c r="L48" s="47">
        <f>SUM(C48-F48)/I48</f>
        <v>85.52624444444443</v>
      </c>
      <c r="M48" s="101">
        <f>+L48*J48</f>
        <v>1453.7118370776254</v>
      </c>
      <c r="N48" s="44">
        <f>+B48+((P48*365)/12)</f>
        <v>43343</v>
      </c>
      <c r="O48" s="44">
        <v>42035</v>
      </c>
      <c r="P48" s="48">
        <f>5*12</f>
        <v>60</v>
      </c>
      <c r="Q48" s="49">
        <f>+P48-R48</f>
        <v>16.997260273972607</v>
      </c>
      <c r="R48" s="49">
        <f>IF(SUM(N48-O48)&lt;1,0,SUM((N48-O48))/(365/12))</f>
        <v>43.002739726027393</v>
      </c>
      <c r="S48" s="50">
        <v>0.85</v>
      </c>
      <c r="T48" s="51">
        <f>+S48*C48</f>
        <v>15394.723999999998</v>
      </c>
      <c r="U48" s="51">
        <f>+T48/P48</f>
        <v>256.57873333333333</v>
      </c>
      <c r="V48" s="52">
        <f>+U48*Q48</f>
        <v>4361.1355112328774</v>
      </c>
      <c r="W48" s="4">
        <f t="shared" ref="W48" si="18">+V48-M48</f>
        <v>2907.4236741552522</v>
      </c>
    </row>
    <row r="49" spans="1:23" x14ac:dyDescent="0.3">
      <c r="A49" s="54" t="s">
        <v>47</v>
      </c>
      <c r="B49" s="81"/>
      <c r="C49" s="108">
        <f>SUM(C48:C48)</f>
        <v>18111.439999999999</v>
      </c>
      <c r="D49" s="56"/>
      <c r="E49" s="57"/>
      <c r="F49" s="57"/>
      <c r="G49" s="58" t="s">
        <v>54</v>
      </c>
      <c r="H49" s="90"/>
      <c r="I49" s="59"/>
      <c r="J49" s="60"/>
      <c r="K49" s="46"/>
      <c r="L49" s="61">
        <f>SUM(L48:L48)</f>
        <v>85.52624444444443</v>
      </c>
      <c r="M49" s="103">
        <f>SUM(M48:M48)</f>
        <v>1453.7118370776254</v>
      </c>
      <c r="N49" s="48"/>
      <c r="O49" s="48"/>
      <c r="P49" s="48"/>
      <c r="Q49" s="49"/>
      <c r="R49" s="49"/>
      <c r="S49" s="49"/>
      <c r="T49" s="51"/>
      <c r="U49" s="51"/>
      <c r="V49" s="63">
        <f>SUM(V48:V48)</f>
        <v>4361.1355112328774</v>
      </c>
      <c r="W49" s="119"/>
    </row>
    <row r="50" spans="1:23" x14ac:dyDescent="0.3">
      <c r="A50" s="43" t="s">
        <v>49</v>
      </c>
      <c r="B50" s="82"/>
      <c r="C50" s="100">
        <v>18111.439999999999</v>
      </c>
      <c r="D50" s="43"/>
      <c r="E50" s="42"/>
      <c r="F50" s="42"/>
      <c r="G50" s="48"/>
      <c r="H50" s="86"/>
      <c r="I50" s="48"/>
      <c r="J50" s="48"/>
      <c r="K50" s="48"/>
      <c r="L50" s="48"/>
      <c r="M50" s="109">
        <v>1366.55</v>
      </c>
      <c r="N50" s="48"/>
      <c r="O50" s="48"/>
      <c r="P50" s="48"/>
      <c r="Q50" s="49"/>
      <c r="R50" s="49"/>
      <c r="S50" s="49"/>
      <c r="T50" s="51"/>
      <c r="U50" s="51"/>
      <c r="V50" s="63">
        <v>1368.48</v>
      </c>
    </row>
    <row r="51" spans="1:23" x14ac:dyDescent="0.3">
      <c r="A51" s="43" t="s">
        <v>50</v>
      </c>
      <c r="B51" s="82"/>
      <c r="C51" s="108">
        <f>C49-C50</f>
        <v>0</v>
      </c>
      <c r="D51" s="56"/>
      <c r="E51" s="57"/>
      <c r="F51" s="57"/>
      <c r="G51" s="48"/>
      <c r="H51" s="86"/>
      <c r="I51" s="48"/>
      <c r="J51" s="48"/>
      <c r="K51" s="48"/>
      <c r="L51" s="47"/>
      <c r="M51" s="105">
        <f>M49-M50</f>
        <v>87.161837077625478</v>
      </c>
      <c r="N51" s="48"/>
      <c r="O51" s="48"/>
      <c r="P51" s="48"/>
      <c r="Q51" s="49"/>
      <c r="R51" s="49"/>
      <c r="S51" s="49"/>
      <c r="T51" s="51"/>
      <c r="U51" s="51"/>
      <c r="V51" s="63">
        <f>V49-V50</f>
        <v>2992.6555112328774</v>
      </c>
    </row>
    <row r="52" spans="1:23" x14ac:dyDescent="0.3">
      <c r="A52" s="48"/>
      <c r="B52" s="48"/>
      <c r="C52" s="110"/>
      <c r="D52" s="48"/>
      <c r="E52" s="48"/>
      <c r="F52" s="48"/>
      <c r="G52" s="48"/>
      <c r="H52" s="86"/>
      <c r="I52" s="48"/>
      <c r="J52" s="48"/>
      <c r="K52" s="48"/>
      <c r="L52" s="47"/>
      <c r="M52" s="101"/>
      <c r="N52" s="48"/>
      <c r="O52" s="48"/>
      <c r="P52" s="48"/>
      <c r="Q52" s="49"/>
      <c r="R52" s="49"/>
      <c r="S52" s="49"/>
      <c r="T52" s="51"/>
      <c r="U52" s="51"/>
      <c r="V52" s="52"/>
    </row>
    <row r="53" spans="1:23" x14ac:dyDescent="0.3">
      <c r="A53" s="48"/>
      <c r="B53" s="48"/>
      <c r="C53" s="110"/>
      <c r="D53" s="48"/>
      <c r="E53" s="48"/>
      <c r="F53" s="48"/>
      <c r="G53" s="48"/>
      <c r="H53" s="86"/>
      <c r="I53" s="48"/>
      <c r="J53" s="48"/>
      <c r="K53" s="48"/>
      <c r="L53" s="47"/>
      <c r="M53" s="101"/>
      <c r="N53" s="48"/>
      <c r="O53" s="48"/>
      <c r="P53" s="48"/>
      <c r="Q53" s="49"/>
      <c r="R53" s="49"/>
      <c r="S53" s="49"/>
      <c r="T53" s="51"/>
      <c r="U53" s="51"/>
      <c r="V53" s="52"/>
    </row>
    <row r="54" spans="1:23" ht="26.4" x14ac:dyDescent="0.3">
      <c r="A54" s="68" t="s">
        <v>6</v>
      </c>
      <c r="B54" s="69" t="s">
        <v>7</v>
      </c>
      <c r="C54" s="107" t="s">
        <v>8</v>
      </c>
      <c r="D54" s="68" t="s">
        <v>9</v>
      </c>
      <c r="E54" s="68" t="s">
        <v>10</v>
      </c>
      <c r="F54" s="68" t="s">
        <v>11</v>
      </c>
      <c r="G54" s="48"/>
      <c r="H54" s="86"/>
      <c r="I54" s="64"/>
      <c r="J54" s="64"/>
      <c r="K54" s="48"/>
      <c r="L54" s="47"/>
      <c r="M54" s="101"/>
      <c r="N54" s="48"/>
      <c r="O54" s="48"/>
      <c r="P54" s="48"/>
      <c r="Q54" s="49"/>
      <c r="R54" s="49"/>
      <c r="S54" s="49"/>
      <c r="T54" s="51"/>
      <c r="U54" s="51"/>
      <c r="V54" s="52"/>
    </row>
    <row r="55" spans="1:23" x14ac:dyDescent="0.3">
      <c r="A55" s="70" t="s">
        <v>57</v>
      </c>
      <c r="B55" s="82"/>
      <c r="C55" s="104"/>
      <c r="D55" s="43"/>
      <c r="E55" s="53"/>
      <c r="F55" s="42"/>
      <c r="G55" s="48"/>
      <c r="H55" s="86"/>
      <c r="I55" s="64"/>
      <c r="J55" s="64"/>
      <c r="K55" s="48"/>
      <c r="L55" s="47"/>
      <c r="M55" s="101"/>
      <c r="N55" s="48"/>
      <c r="O55" s="48"/>
      <c r="P55" s="48"/>
      <c r="Q55" s="49"/>
      <c r="R55" s="49"/>
      <c r="S55" s="49"/>
      <c r="T55" s="51"/>
      <c r="U55" s="51"/>
      <c r="V55" s="52"/>
    </row>
    <row r="56" spans="1:23" x14ac:dyDescent="0.3">
      <c r="A56" s="41" t="s">
        <v>58</v>
      </c>
      <c r="B56" s="80">
        <v>40380</v>
      </c>
      <c r="C56" s="100">
        <v>362.84</v>
      </c>
      <c r="D56" s="43">
        <v>5</v>
      </c>
      <c r="E56" s="42">
        <v>5</v>
      </c>
      <c r="F56" s="42">
        <v>0</v>
      </c>
      <c r="G56" s="44">
        <f t="shared" ref="G56:G57" si="19">+B56+(D56*365)</f>
        <v>42205</v>
      </c>
      <c r="H56" s="89">
        <v>42035</v>
      </c>
      <c r="I56" s="45">
        <f t="shared" ref="I56:I57" si="20">+D56*12</f>
        <v>60</v>
      </c>
      <c r="J56" s="46">
        <f>IF(K56&lt;1,SUM(I56-K56),SUM((H56-B56)/(365/12)))</f>
        <v>54.410958904109584</v>
      </c>
      <c r="K56" s="46">
        <f t="shared" ref="K56:K57" si="21">IF(SUM(G56-H56)&lt;1,0,SUM((G56-H56))/(365/12))</f>
        <v>5.5890410958904111</v>
      </c>
      <c r="L56" s="47">
        <f>SUM(C56-F56)/I56</f>
        <v>6.0473333333333326</v>
      </c>
      <c r="M56" s="101">
        <f>+L56*J56</f>
        <v>329.041205479452</v>
      </c>
      <c r="N56" s="44">
        <f>+B56+((P56*365)/12)</f>
        <v>42205</v>
      </c>
      <c r="O56" s="44">
        <v>42035</v>
      </c>
      <c r="P56" s="48">
        <f>5*12</f>
        <v>60</v>
      </c>
      <c r="Q56" s="49">
        <f>+P56-R56</f>
        <v>54.410958904109592</v>
      </c>
      <c r="R56" s="49">
        <f>IF(SUM(N56-O56)&lt;1,0,SUM((N56-O56))/(365/12))</f>
        <v>5.5890410958904111</v>
      </c>
      <c r="S56" s="50">
        <v>1</v>
      </c>
      <c r="T56" s="51">
        <f>+S56*C56</f>
        <v>362.84</v>
      </c>
      <c r="U56" s="51">
        <f>+T56/P56</f>
        <v>6.0473333333333326</v>
      </c>
      <c r="V56" s="52">
        <f>+U56*Q56</f>
        <v>329.041205479452</v>
      </c>
      <c r="W56" s="4">
        <f t="shared" ref="W56:W57" si="22">+V56-M56</f>
        <v>0</v>
      </c>
    </row>
    <row r="57" spans="1:23" x14ac:dyDescent="0.3">
      <c r="A57" s="41" t="s">
        <v>59</v>
      </c>
      <c r="B57" s="80">
        <v>41692</v>
      </c>
      <c r="C57" s="100">
        <v>800</v>
      </c>
      <c r="D57" s="43">
        <v>5</v>
      </c>
      <c r="E57" s="42">
        <v>5</v>
      </c>
      <c r="F57" s="42">
        <f>+C57*5%</f>
        <v>40</v>
      </c>
      <c r="G57" s="44">
        <f t="shared" si="19"/>
        <v>43517</v>
      </c>
      <c r="H57" s="89">
        <v>42035</v>
      </c>
      <c r="I57" s="45">
        <f t="shared" si="20"/>
        <v>60</v>
      </c>
      <c r="J57" s="46">
        <f>IF(K57&lt;1,SUM(I57-K57),SUM((H57-B57)/(365/12)))</f>
        <v>11.276712328767124</v>
      </c>
      <c r="K57" s="46">
        <f t="shared" si="21"/>
        <v>48.723287671232875</v>
      </c>
      <c r="L57" s="47">
        <f>SUM(C57-F57)/I57</f>
        <v>12.666666666666666</v>
      </c>
      <c r="M57" s="101">
        <f>+L57*J57</f>
        <v>142.83835616438355</v>
      </c>
      <c r="N57" s="44">
        <f>+B57+((P57*365)/12)</f>
        <v>43517</v>
      </c>
      <c r="O57" s="44">
        <v>42035</v>
      </c>
      <c r="P57" s="48">
        <f>5*12</f>
        <v>60</v>
      </c>
      <c r="Q57" s="49">
        <f>+P57-R57</f>
        <v>11.276712328767125</v>
      </c>
      <c r="R57" s="49">
        <f>IF(SUM(N57-O57)&lt;1,0,SUM((N57-O57))/(365/12))</f>
        <v>48.723287671232875</v>
      </c>
      <c r="S57" s="50">
        <v>1</v>
      </c>
      <c r="T57" s="51">
        <f>+S57*C57</f>
        <v>800</v>
      </c>
      <c r="U57" s="51">
        <f>+T57/P57</f>
        <v>13.333333333333334</v>
      </c>
      <c r="V57" s="52">
        <f>+U57*Q57</f>
        <v>150.35616438356169</v>
      </c>
      <c r="W57" s="4">
        <f t="shared" si="22"/>
        <v>7.5178082191781357</v>
      </c>
    </row>
    <row r="58" spans="1:23" x14ac:dyDescent="0.3">
      <c r="A58" s="54" t="s">
        <v>47</v>
      </c>
      <c r="B58" s="81"/>
      <c r="C58" s="108">
        <f>SUM(C56:C57)</f>
        <v>1162.8399999999999</v>
      </c>
      <c r="D58" s="56"/>
      <c r="E58" s="57"/>
      <c r="F58" s="57"/>
      <c r="G58" s="58" t="s">
        <v>54</v>
      </c>
      <c r="H58" s="90"/>
      <c r="I58" s="59"/>
      <c r="J58" s="60"/>
      <c r="K58" s="46"/>
      <c r="L58" s="61">
        <f>SUM(L55:L57)</f>
        <v>18.713999999999999</v>
      </c>
      <c r="M58" s="103">
        <f>SUM(M55:M57)</f>
        <v>471.87956164383559</v>
      </c>
      <c r="N58" s="48"/>
      <c r="O58" s="48"/>
      <c r="P58" s="48"/>
      <c r="Q58" s="49"/>
      <c r="R58" s="49"/>
      <c r="S58" s="49"/>
      <c r="T58" s="51"/>
      <c r="U58" s="51"/>
      <c r="V58" s="72">
        <f>SUM(V56:V57)</f>
        <v>479.39736986301369</v>
      </c>
      <c r="W58" s="119"/>
    </row>
    <row r="59" spans="1:23" x14ac:dyDescent="0.3">
      <c r="A59" s="43" t="s">
        <v>49</v>
      </c>
      <c r="B59" s="82"/>
      <c r="C59" s="100">
        <v>1162.8399999999999</v>
      </c>
      <c r="D59" s="43"/>
      <c r="E59" s="42"/>
      <c r="F59" s="42"/>
      <c r="G59" s="48"/>
      <c r="H59" s="86"/>
      <c r="I59" s="48"/>
      <c r="J59" s="48"/>
      <c r="K59" s="48"/>
      <c r="L59" s="48"/>
      <c r="M59" s="109">
        <v>452.81</v>
      </c>
      <c r="N59" s="48"/>
      <c r="O59" s="48"/>
      <c r="P59" s="48"/>
      <c r="Q59" s="49"/>
      <c r="R59" s="49"/>
      <c r="S59" s="49"/>
      <c r="T59" s="51"/>
      <c r="U59" s="51"/>
      <c r="V59" s="71">
        <v>195.58</v>
      </c>
    </row>
    <row r="60" spans="1:23" x14ac:dyDescent="0.3">
      <c r="A60" s="43" t="s">
        <v>50</v>
      </c>
      <c r="B60" s="82"/>
      <c r="C60" s="108">
        <f>C58-C59</f>
        <v>0</v>
      </c>
      <c r="D60" s="56"/>
      <c r="E60" s="57"/>
      <c r="F60" s="57"/>
      <c r="G60" s="48"/>
      <c r="H60" s="86"/>
      <c r="I60" s="48"/>
      <c r="J60" s="48"/>
      <c r="K60" s="48"/>
      <c r="L60" s="47"/>
      <c r="M60" s="105">
        <f>M58-M59</f>
        <v>19.069561643835584</v>
      </c>
      <c r="N60" s="48"/>
      <c r="O60" s="48"/>
      <c r="P60" s="48"/>
      <c r="Q60" s="49"/>
      <c r="R60" s="49"/>
      <c r="S60" s="49"/>
      <c r="T60" s="51"/>
      <c r="U60" s="51"/>
      <c r="V60" s="71">
        <f>V58-V59</f>
        <v>283.81736986301371</v>
      </c>
    </row>
    <row r="61" spans="1:23" x14ac:dyDescent="0.3">
      <c r="C61" s="111"/>
      <c r="H61" s="87"/>
      <c r="M61" s="112"/>
      <c r="V61" s="73"/>
    </row>
    <row r="62" spans="1:23" ht="14.4" thickBot="1" x14ac:dyDescent="0.35">
      <c r="C62" s="113"/>
      <c r="D62" s="114"/>
      <c r="E62" s="114"/>
      <c r="F62" s="114"/>
      <c r="G62" s="114"/>
      <c r="H62" s="115"/>
      <c r="I62" s="114"/>
      <c r="J62" s="114"/>
      <c r="K62" s="114"/>
      <c r="L62" s="116"/>
      <c r="M62" s="117"/>
      <c r="N62" s="74"/>
      <c r="O62" s="74"/>
      <c r="P62" s="74"/>
      <c r="Q62" s="75"/>
      <c r="R62" s="75"/>
      <c r="S62" s="75"/>
      <c r="T62" s="76"/>
      <c r="U62" s="76"/>
      <c r="V62" s="77"/>
    </row>
    <row r="63" spans="1:23" ht="14.4" thickTop="1" x14ac:dyDescent="0.3"/>
    <row r="64" spans="1:23" x14ac:dyDescent="0.3">
      <c r="B64" s="78" t="s">
        <v>60</v>
      </c>
      <c r="C64" s="78">
        <f>+C58+C49+C42+C34</f>
        <v>36385.67</v>
      </c>
      <c r="E64" s="78"/>
      <c r="L64" s="5" t="s">
        <v>60</v>
      </c>
      <c r="M64" s="5">
        <f>+M58+M49+M42+M34</f>
        <v>10068.76222063927</v>
      </c>
      <c r="U64" s="5" t="s">
        <v>61</v>
      </c>
      <c r="V64" s="5">
        <f>+V58+V49+V42+V34</f>
        <v>12986.991374246576</v>
      </c>
      <c r="W64" s="8">
        <f>SUM(W9:W60)</f>
        <v>2918.2291536073071</v>
      </c>
    </row>
    <row r="65" spans="2:23" x14ac:dyDescent="0.3">
      <c r="B65" s="78" t="s">
        <v>62</v>
      </c>
      <c r="C65" s="78">
        <f>+C59+C50+C43+C35</f>
        <v>36385.67</v>
      </c>
      <c r="E65" s="78"/>
      <c r="L65" s="5" t="s">
        <v>62</v>
      </c>
      <c r="M65" s="5">
        <f>+M59+M50+M43+M35</f>
        <v>9917.23</v>
      </c>
      <c r="U65" s="5" t="s">
        <v>62</v>
      </c>
      <c r="V65" s="5">
        <f>+V59+V50+V43+V35</f>
        <v>9774.56</v>
      </c>
      <c r="W65" s="7"/>
    </row>
    <row r="66" spans="2:23" x14ac:dyDescent="0.3">
      <c r="B66" s="79" t="s">
        <v>63</v>
      </c>
      <c r="C66" s="78">
        <f>+C64-C65</f>
        <v>0</v>
      </c>
      <c r="E66" s="78"/>
      <c r="M66" s="120">
        <f>+M64-M65</f>
        <v>151.53222063927024</v>
      </c>
      <c r="U66" s="7" t="s">
        <v>63</v>
      </c>
      <c r="V66" s="5">
        <f>+V64-V65</f>
        <v>3212.4313742465765</v>
      </c>
    </row>
    <row r="67" spans="2:23" x14ac:dyDescent="0.3">
      <c r="B67" s="78"/>
      <c r="C67" s="78"/>
      <c r="E67" s="78"/>
    </row>
    <row r="68" spans="2:23" x14ac:dyDescent="0.3">
      <c r="B68" s="78"/>
      <c r="C68" s="78"/>
      <c r="E68" s="78"/>
    </row>
    <row r="69" spans="2:23" x14ac:dyDescent="0.3">
      <c r="B69" s="78"/>
      <c r="C69" s="78"/>
      <c r="E69" s="78"/>
    </row>
  </sheetData>
  <mergeCells count="2">
    <mergeCell ref="N6:V6"/>
    <mergeCell ref="C6:M6"/>
  </mergeCells>
  <printOptions horizontalCentered="1"/>
  <pageMargins left="3.937007874015748E-2" right="0" top="0.15748031496062992" bottom="0.11811023622047245" header="0" footer="0"/>
  <pageSetup scale="5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33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6" sqref="C6:N6"/>
    </sheetView>
  </sheetViews>
  <sheetFormatPr baseColWidth="10" defaultColWidth="12" defaultRowHeight="13.8" x14ac:dyDescent="0.3"/>
  <cols>
    <col min="1" max="1" width="47.6640625" style="2" customWidth="1"/>
    <col min="2" max="2" width="13" style="2" customWidth="1"/>
    <col min="3" max="3" width="10.33203125" style="2" bestFit="1" customWidth="1"/>
    <col min="4" max="4" width="9.21875" style="2" bestFit="1" customWidth="1"/>
    <col min="5" max="5" width="9.33203125" style="2" customWidth="1"/>
    <col min="6" max="6" width="11.109375" style="2" customWidth="1"/>
    <col min="7" max="7" width="15.109375" style="2" customWidth="1"/>
    <col min="8" max="8" width="13.6640625" style="2" customWidth="1"/>
    <col min="9" max="9" width="12.6640625" style="2" customWidth="1"/>
    <col min="10" max="10" width="15" style="2" customWidth="1"/>
    <col min="11" max="11" width="12" style="2" customWidth="1"/>
    <col min="12" max="13" width="17.33203125" style="4" customWidth="1"/>
    <col min="14" max="14" width="17.109375" style="4" customWidth="1"/>
    <col min="15" max="15" width="12.77734375" style="2" hidden="1" customWidth="1"/>
    <col min="16" max="16" width="14.33203125" style="2" hidden="1" customWidth="1"/>
    <col min="17" max="17" width="13.33203125" style="2" hidden="1" customWidth="1"/>
    <col min="18" max="18" width="15.77734375" style="6" hidden="1" customWidth="1"/>
    <col min="19" max="20" width="14.6640625" style="6" hidden="1" customWidth="1"/>
    <col min="21" max="21" width="15.109375" style="7" hidden="1" customWidth="1"/>
    <col min="22" max="23" width="17.6640625" style="7" hidden="1" customWidth="1"/>
    <col min="24" max="24" width="16.6640625" style="2" hidden="1" customWidth="1"/>
    <col min="25" max="16384" width="12" style="2"/>
  </cols>
  <sheetData>
    <row r="1" spans="1:24" ht="17.25" customHeight="1" x14ac:dyDescent="0.35">
      <c r="A1" s="147" t="s">
        <v>67</v>
      </c>
      <c r="C1" s="3"/>
      <c r="E1" s="3"/>
    </row>
    <row r="2" spans="1:24" s="10" customFormat="1" ht="17.25" customHeight="1" x14ac:dyDescent="0.3">
      <c r="A2" s="9" t="s">
        <v>1</v>
      </c>
      <c r="L2" s="11"/>
      <c r="M2" s="11"/>
      <c r="N2" s="11"/>
      <c r="R2" s="12"/>
      <c r="S2" s="12"/>
      <c r="T2" s="12"/>
      <c r="U2" s="13"/>
      <c r="V2" s="13"/>
      <c r="W2" s="13"/>
    </row>
    <row r="3" spans="1:24" ht="16.5" customHeight="1" x14ac:dyDescent="0.3">
      <c r="A3" s="1" t="s">
        <v>65</v>
      </c>
      <c r="C3" s="3"/>
      <c r="E3" s="3"/>
    </row>
    <row r="4" spans="1:24" ht="2.25" customHeight="1" x14ac:dyDescent="0.3"/>
    <row r="5" spans="1:24" s="17" customFormat="1" ht="2.25" customHeight="1" thickBot="1" x14ac:dyDescent="0.35">
      <c r="A5" s="14" t="s">
        <v>2</v>
      </c>
      <c r="B5" s="15">
        <v>42004</v>
      </c>
      <c r="C5" s="16"/>
      <c r="E5" s="16"/>
      <c r="L5" s="18"/>
      <c r="M5" s="18"/>
      <c r="N5" s="18"/>
      <c r="R5" s="19"/>
      <c r="S5" s="19"/>
      <c r="T5" s="19"/>
      <c r="U5" s="20"/>
      <c r="V5" s="20"/>
      <c r="W5" s="20"/>
    </row>
    <row r="6" spans="1:24" s="17" customFormat="1" ht="27.75" customHeight="1" thickTop="1" x14ac:dyDescent="0.45">
      <c r="A6" s="21" t="s">
        <v>3</v>
      </c>
      <c r="B6" s="91">
        <v>0</v>
      </c>
      <c r="C6" s="153" t="s">
        <v>73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5"/>
      <c r="O6" s="148" t="s">
        <v>5</v>
      </c>
      <c r="P6" s="148"/>
      <c r="Q6" s="148"/>
      <c r="R6" s="148"/>
      <c r="S6" s="148"/>
      <c r="T6" s="148"/>
      <c r="U6" s="148"/>
      <c r="V6" s="148"/>
      <c r="W6" s="149"/>
    </row>
    <row r="7" spans="1:24" s="17" customFormat="1" ht="9.75" customHeight="1" thickBot="1" x14ac:dyDescent="0.25">
      <c r="B7" s="22"/>
      <c r="C7" s="92"/>
      <c r="D7" s="93"/>
      <c r="E7" s="94"/>
      <c r="G7" s="23"/>
      <c r="L7" s="18"/>
      <c r="M7" s="18"/>
      <c r="N7" s="95"/>
      <c r="R7" s="19"/>
      <c r="S7" s="19"/>
      <c r="T7" s="19"/>
      <c r="U7" s="20"/>
      <c r="V7" s="20"/>
      <c r="W7" s="24"/>
    </row>
    <row r="8" spans="1:24" s="32" customFormat="1" ht="25.2" customHeight="1" thickTop="1" x14ac:dyDescent="0.3">
      <c r="A8" s="25" t="s">
        <v>6</v>
      </c>
      <c r="B8" s="26" t="s">
        <v>7</v>
      </c>
      <c r="C8" s="96" t="s">
        <v>8</v>
      </c>
      <c r="D8" s="84" t="s">
        <v>9</v>
      </c>
      <c r="E8" s="84" t="s">
        <v>10</v>
      </c>
      <c r="F8" s="84" t="s">
        <v>11</v>
      </c>
      <c r="G8" s="118" t="s">
        <v>12</v>
      </c>
      <c r="H8" s="83" t="s">
        <v>13</v>
      </c>
      <c r="I8" s="84" t="s">
        <v>72</v>
      </c>
      <c r="J8" s="84" t="s">
        <v>15</v>
      </c>
      <c r="K8" s="84" t="s">
        <v>16</v>
      </c>
      <c r="L8" s="85" t="s">
        <v>17</v>
      </c>
      <c r="M8" s="121" t="s">
        <v>66</v>
      </c>
      <c r="N8" s="97" t="s">
        <v>18</v>
      </c>
      <c r="O8" s="28" t="s">
        <v>12</v>
      </c>
      <c r="P8" s="25" t="s">
        <v>13</v>
      </c>
      <c r="Q8" s="25" t="s">
        <v>19</v>
      </c>
      <c r="R8" s="29" t="s">
        <v>15</v>
      </c>
      <c r="S8" s="29" t="s">
        <v>20</v>
      </c>
      <c r="T8" s="29" t="s">
        <v>21</v>
      </c>
      <c r="U8" s="27" t="s">
        <v>22</v>
      </c>
      <c r="V8" s="27" t="s">
        <v>17</v>
      </c>
      <c r="W8" s="30" t="s">
        <v>18</v>
      </c>
      <c r="X8" s="31" t="s">
        <v>23</v>
      </c>
    </row>
    <row r="9" spans="1:24" s="40" customFormat="1" ht="17.25" customHeight="1" x14ac:dyDescent="0.3">
      <c r="A9" s="33" t="s">
        <v>24</v>
      </c>
      <c r="B9" s="34"/>
      <c r="C9" s="98"/>
      <c r="D9" s="33"/>
      <c r="E9" s="33"/>
      <c r="F9" s="33"/>
      <c r="G9" s="35"/>
      <c r="H9" s="88"/>
      <c r="I9" s="35"/>
      <c r="J9" s="35"/>
      <c r="K9" s="35"/>
      <c r="L9" s="36"/>
      <c r="M9" s="36"/>
      <c r="N9" s="99"/>
      <c r="O9" s="35"/>
      <c r="P9" s="35"/>
      <c r="Q9" s="35"/>
      <c r="R9" s="38"/>
      <c r="S9" s="38"/>
      <c r="T9" s="38"/>
      <c r="U9" s="37"/>
      <c r="V9" s="37"/>
      <c r="W9" s="39"/>
    </row>
    <row r="10" spans="1:24" ht="18" customHeight="1" x14ac:dyDescent="0.3">
      <c r="A10" s="124" t="s">
        <v>68</v>
      </c>
      <c r="B10" s="136">
        <v>45214</v>
      </c>
      <c r="C10" s="137">
        <v>475</v>
      </c>
      <c r="D10" s="43">
        <v>3</v>
      </c>
      <c r="E10" s="43">
        <v>2</v>
      </c>
      <c r="F10" s="42">
        <v>1</v>
      </c>
      <c r="G10" s="44">
        <f>+B10+(D10*365)</f>
        <v>46309</v>
      </c>
      <c r="H10" s="89">
        <v>45291</v>
      </c>
      <c r="I10" s="45">
        <f>+D10*12</f>
        <v>36</v>
      </c>
      <c r="J10" s="46">
        <f t="shared" ref="J10:J12" si="0">IF(K10&lt;1,SUM(I10-K10),SUM((H10-B10)/(365/12)))</f>
        <v>2.5315068493150683</v>
      </c>
      <c r="K10" s="46">
        <f>IF(SUM(G10-H10)&lt;1,0,SUM((G10-H10))/(365/12))</f>
        <v>33.468493150684928</v>
      </c>
      <c r="L10" s="47">
        <f>SUM(C10-F10)/I10</f>
        <v>13.166666666666666</v>
      </c>
      <c r="M10" s="47">
        <f>IF(K10&gt;0,L10,0)</f>
        <v>13.166666666666666</v>
      </c>
      <c r="N10" s="101">
        <f>+L10*J10</f>
        <v>33.331506849315062</v>
      </c>
      <c r="O10" s="44">
        <f t="shared" ref="O10:O11" si="1">+B10+((Q10*365)/12)</f>
        <v>45944</v>
      </c>
      <c r="P10" s="44">
        <v>42035</v>
      </c>
      <c r="Q10" s="48">
        <v>24</v>
      </c>
      <c r="R10" s="49">
        <f t="shared" ref="R10:R11" si="2">+Q10-S10</f>
        <v>-104.51506849315069</v>
      </c>
      <c r="S10" s="49">
        <f t="shared" ref="S10:S11" si="3">IF(SUM(O10-P10)&lt;1,0,SUM((O10-P10))/(365/12))</f>
        <v>128.51506849315069</v>
      </c>
      <c r="T10" s="50">
        <v>1</v>
      </c>
      <c r="U10" s="51">
        <f t="shared" ref="U10:U11" si="4">+T10*C10</f>
        <v>475</v>
      </c>
      <c r="V10" s="51">
        <f t="shared" ref="V10:V11" si="5">+U10/Q10</f>
        <v>19.791666666666668</v>
      </c>
      <c r="W10" s="52">
        <f>+V10*R10</f>
        <v>-2068.5273972602745</v>
      </c>
      <c r="X10" s="4">
        <f>+W10-N10</f>
        <v>-2101.8589041095897</v>
      </c>
    </row>
    <row r="11" spans="1:24" ht="18" customHeight="1" x14ac:dyDescent="0.3">
      <c r="A11" s="124" t="s">
        <v>69</v>
      </c>
      <c r="B11" s="136">
        <v>43850</v>
      </c>
      <c r="C11" s="137">
        <v>1100</v>
      </c>
      <c r="D11" s="43">
        <v>3</v>
      </c>
      <c r="E11" s="43">
        <v>2</v>
      </c>
      <c r="F11" s="42">
        <v>1</v>
      </c>
      <c r="G11" s="44">
        <f>+B11+(D11*365)</f>
        <v>44945</v>
      </c>
      <c r="H11" s="89">
        <v>45291</v>
      </c>
      <c r="I11" s="45">
        <f>+D11*12</f>
        <v>36</v>
      </c>
      <c r="J11" s="46">
        <f t="shared" si="0"/>
        <v>36</v>
      </c>
      <c r="K11" s="46">
        <f>IF(SUM(G11-H11)&lt;1,0,SUM((G11-H11))/(365/12))</f>
        <v>0</v>
      </c>
      <c r="L11" s="47">
        <f>SUM(C11-F11)/I11</f>
        <v>30.527777777777779</v>
      </c>
      <c r="M11" s="47">
        <f t="shared" ref="M11" si="6">IF(K11&gt;0,L11,0)</f>
        <v>0</v>
      </c>
      <c r="N11" s="101">
        <f t="shared" ref="N10:N11" si="7">+L11*J11</f>
        <v>1099</v>
      </c>
      <c r="O11" s="44">
        <f t="shared" si="1"/>
        <v>44580</v>
      </c>
      <c r="P11" s="44">
        <v>42035</v>
      </c>
      <c r="Q11" s="48">
        <v>24</v>
      </c>
      <c r="R11" s="49">
        <f t="shared" si="2"/>
        <v>-59.671232876712324</v>
      </c>
      <c r="S11" s="49">
        <f t="shared" si="3"/>
        <v>83.671232876712324</v>
      </c>
      <c r="T11" s="50">
        <v>1</v>
      </c>
      <c r="U11" s="51">
        <f t="shared" si="4"/>
        <v>1100</v>
      </c>
      <c r="V11" s="51">
        <f t="shared" si="5"/>
        <v>45.833333333333336</v>
      </c>
      <c r="W11" s="52">
        <f t="shared" ref="W11" si="8">+V11*R11</f>
        <v>-2734.9315068493152</v>
      </c>
      <c r="X11" s="4">
        <f t="shared" ref="X11" si="9">+W11-N11</f>
        <v>-3833.9315068493152</v>
      </c>
    </row>
    <row r="12" spans="1:24" ht="18" customHeight="1" x14ac:dyDescent="0.3">
      <c r="A12" s="124" t="s">
        <v>70</v>
      </c>
      <c r="B12" s="136">
        <v>44895</v>
      </c>
      <c r="C12" s="146">
        <v>650</v>
      </c>
      <c r="D12" s="43">
        <v>3</v>
      </c>
      <c r="E12" s="43">
        <v>2</v>
      </c>
      <c r="F12" s="42">
        <v>1</v>
      </c>
      <c r="G12" s="44">
        <f>+B12+(D12*365)</f>
        <v>45990</v>
      </c>
      <c r="H12" s="89">
        <v>45291</v>
      </c>
      <c r="I12" s="45">
        <f>+D12*12</f>
        <v>36</v>
      </c>
      <c r="J12" s="46">
        <f t="shared" si="0"/>
        <v>13.019178082191781</v>
      </c>
      <c r="K12" s="46">
        <f>IF(SUM(G12-H12)&lt;1,0,SUM((G12-H12))/(365/12))</f>
        <v>22.980821917808218</v>
      </c>
      <c r="L12" s="47">
        <f>SUM(C12-F12)/I12</f>
        <v>18.027777777777779</v>
      </c>
      <c r="M12" s="47">
        <f>IF(K12&gt;0,L12,0)</f>
        <v>18.027777777777779</v>
      </c>
      <c r="N12" s="101">
        <f>+L12*J12</f>
        <v>234.7068493150685</v>
      </c>
      <c r="O12" s="44"/>
      <c r="P12" s="44"/>
      <c r="Q12" s="48"/>
      <c r="R12" s="49"/>
      <c r="S12" s="49"/>
      <c r="T12" s="50"/>
      <c r="U12" s="51"/>
      <c r="V12" s="51"/>
      <c r="W12" s="52"/>
      <c r="X12" s="4"/>
    </row>
    <row r="13" spans="1:24" ht="18" customHeight="1" x14ac:dyDescent="0.3">
      <c r="A13" s="125" t="s">
        <v>71</v>
      </c>
      <c r="B13" s="136">
        <v>45107</v>
      </c>
      <c r="C13" s="146">
        <v>1300</v>
      </c>
      <c r="D13" s="43">
        <v>3</v>
      </c>
      <c r="E13" s="43">
        <v>2</v>
      </c>
      <c r="F13" s="42">
        <v>1</v>
      </c>
      <c r="G13" s="44">
        <f>+B13+(D13*365)</f>
        <v>46202</v>
      </c>
      <c r="H13" s="89">
        <v>45291</v>
      </c>
      <c r="I13" s="45">
        <f>+D13*12</f>
        <v>36</v>
      </c>
      <c r="J13" s="46">
        <f>IF(K13&lt;1,SUM(I13-K13),SUM((H13-B13)/(365/12)))</f>
        <v>6.0493150684931507</v>
      </c>
      <c r="K13" s="46">
        <f t="shared" ref="K13" si="10">IF(SUM(G13-H13)&lt;1,0,SUM((G13-H13))/(365/12))</f>
        <v>29.950684931506849</v>
      </c>
      <c r="L13" s="47">
        <f>SUM(C13-F13)/I13</f>
        <v>36.083333333333336</v>
      </c>
      <c r="M13" s="47">
        <f>IF(K13&gt;0,L13,0)</f>
        <v>36.083333333333336</v>
      </c>
      <c r="N13" s="101">
        <f>+L13*J13</f>
        <v>218.27945205479455</v>
      </c>
      <c r="O13" s="44"/>
      <c r="P13" s="44"/>
      <c r="Q13" s="48"/>
      <c r="R13" s="49"/>
      <c r="S13" s="49"/>
      <c r="T13" s="50"/>
      <c r="U13" s="51"/>
      <c r="V13" s="51"/>
      <c r="W13" s="52"/>
      <c r="X13" s="4"/>
    </row>
    <row r="14" spans="1:24" ht="18" hidden="1" customHeight="1" x14ac:dyDescent="0.3">
      <c r="A14" s="125"/>
      <c r="B14" s="136"/>
      <c r="C14" s="146"/>
      <c r="D14" s="43">
        <v>3</v>
      </c>
      <c r="E14" s="43">
        <v>2</v>
      </c>
      <c r="F14" s="42">
        <v>1</v>
      </c>
      <c r="G14" s="44">
        <f t="shared" ref="G11:G27" si="11">+B14+(D14*365)</f>
        <v>1095</v>
      </c>
      <c r="H14" s="89">
        <v>45291</v>
      </c>
      <c r="I14" s="45">
        <f t="shared" ref="I14:I27" si="12">+D14*12</f>
        <v>36</v>
      </c>
      <c r="J14" s="46">
        <f t="shared" ref="J14:J27" si="13">IF(K14&lt;1,SUM(I14-K14),SUM((H14-B14)/(365/12)))</f>
        <v>36</v>
      </c>
      <c r="K14" s="46">
        <f t="shared" ref="K14:K27" si="14">IF(SUM(G14-H14)&lt;1,0,SUM((G14-H14))/(365/12))</f>
        <v>0</v>
      </c>
      <c r="L14" s="47">
        <f t="shared" ref="L14:L27" si="15">SUM(C14-F14)/I14</f>
        <v>-2.7777777777777776E-2</v>
      </c>
      <c r="M14" s="47">
        <f t="shared" ref="M14:M27" si="16">IF(K14&gt;0,L14,0)</f>
        <v>0</v>
      </c>
      <c r="N14" s="101">
        <f t="shared" ref="N14:N27" si="17">+L14*J14</f>
        <v>-1</v>
      </c>
      <c r="O14" s="44"/>
      <c r="P14" s="44"/>
      <c r="Q14" s="48"/>
      <c r="R14" s="49"/>
      <c r="S14" s="49"/>
      <c r="T14" s="50"/>
      <c r="U14" s="51"/>
      <c r="V14" s="51"/>
      <c r="W14" s="52"/>
      <c r="X14" s="4"/>
    </row>
    <row r="15" spans="1:24" ht="18" hidden="1" customHeight="1" x14ac:dyDescent="0.3">
      <c r="A15" s="125"/>
      <c r="B15" s="136"/>
      <c r="C15" s="146"/>
      <c r="D15" s="43">
        <v>3</v>
      </c>
      <c r="E15" s="43">
        <v>2</v>
      </c>
      <c r="F15" s="42">
        <v>1</v>
      </c>
      <c r="G15" s="44">
        <f t="shared" si="11"/>
        <v>1095</v>
      </c>
      <c r="H15" s="89">
        <v>45291</v>
      </c>
      <c r="I15" s="45">
        <f t="shared" si="12"/>
        <v>36</v>
      </c>
      <c r="J15" s="46">
        <f t="shared" si="13"/>
        <v>36</v>
      </c>
      <c r="K15" s="46">
        <f t="shared" si="14"/>
        <v>0</v>
      </c>
      <c r="L15" s="47">
        <f t="shared" si="15"/>
        <v>-2.7777777777777776E-2</v>
      </c>
      <c r="M15" s="47">
        <f t="shared" si="16"/>
        <v>0</v>
      </c>
      <c r="N15" s="101">
        <f t="shared" si="17"/>
        <v>-1</v>
      </c>
      <c r="O15" s="44"/>
      <c r="P15" s="44"/>
      <c r="Q15" s="48"/>
      <c r="R15" s="49"/>
      <c r="S15" s="49"/>
      <c r="T15" s="50"/>
      <c r="U15" s="51"/>
      <c r="V15" s="51"/>
      <c r="W15" s="52"/>
      <c r="X15" s="4"/>
    </row>
    <row r="16" spans="1:24" ht="18" hidden="1" customHeight="1" x14ac:dyDescent="0.3">
      <c r="A16" s="125"/>
      <c r="B16" s="136"/>
      <c r="C16" s="146"/>
      <c r="D16" s="43">
        <v>3</v>
      </c>
      <c r="E16" s="43">
        <v>2</v>
      </c>
      <c r="F16" s="42">
        <v>1</v>
      </c>
      <c r="G16" s="44">
        <f t="shared" si="11"/>
        <v>1095</v>
      </c>
      <c r="H16" s="89">
        <v>45291</v>
      </c>
      <c r="I16" s="45">
        <f t="shared" si="12"/>
        <v>36</v>
      </c>
      <c r="J16" s="46">
        <f t="shared" si="13"/>
        <v>36</v>
      </c>
      <c r="K16" s="46">
        <f t="shared" si="14"/>
        <v>0</v>
      </c>
      <c r="L16" s="47">
        <f t="shared" si="15"/>
        <v>-2.7777777777777776E-2</v>
      </c>
      <c r="M16" s="47">
        <f t="shared" si="16"/>
        <v>0</v>
      </c>
      <c r="N16" s="101">
        <f t="shared" si="17"/>
        <v>-1</v>
      </c>
      <c r="O16" s="44"/>
      <c r="P16" s="44"/>
      <c r="Q16" s="48"/>
      <c r="R16" s="49"/>
      <c r="S16" s="49"/>
      <c r="T16" s="50"/>
      <c r="U16" s="51"/>
      <c r="V16" s="51"/>
      <c r="W16" s="52"/>
      <c r="X16" s="4"/>
    </row>
    <row r="17" spans="1:25" ht="18" hidden="1" customHeight="1" x14ac:dyDescent="0.3">
      <c r="A17" s="41"/>
      <c r="B17" s="136"/>
      <c r="C17" s="146"/>
      <c r="D17" s="43">
        <v>3</v>
      </c>
      <c r="E17" s="43">
        <v>2</v>
      </c>
      <c r="F17" s="42">
        <v>1</v>
      </c>
      <c r="G17" s="44">
        <f t="shared" si="11"/>
        <v>1095</v>
      </c>
      <c r="H17" s="89">
        <v>45291</v>
      </c>
      <c r="I17" s="45">
        <f t="shared" si="12"/>
        <v>36</v>
      </c>
      <c r="J17" s="46">
        <f t="shared" si="13"/>
        <v>36</v>
      </c>
      <c r="K17" s="46">
        <f t="shared" si="14"/>
        <v>0</v>
      </c>
      <c r="L17" s="47">
        <f t="shared" si="15"/>
        <v>-2.7777777777777776E-2</v>
      </c>
      <c r="M17" s="47">
        <f t="shared" si="16"/>
        <v>0</v>
      </c>
      <c r="N17" s="101">
        <f t="shared" si="17"/>
        <v>-1</v>
      </c>
      <c r="O17" s="44"/>
      <c r="P17" s="44"/>
      <c r="Q17" s="48"/>
      <c r="R17" s="49"/>
      <c r="S17" s="49"/>
      <c r="T17" s="50"/>
      <c r="U17" s="51"/>
      <c r="V17" s="51"/>
      <c r="W17" s="52"/>
      <c r="X17" s="4"/>
    </row>
    <row r="18" spans="1:25" ht="18" hidden="1" customHeight="1" x14ac:dyDescent="0.3">
      <c r="A18" s="41"/>
      <c r="B18" s="136"/>
      <c r="C18" s="146"/>
      <c r="D18" s="43">
        <v>3</v>
      </c>
      <c r="E18" s="43">
        <v>2</v>
      </c>
      <c r="F18" s="42">
        <v>1</v>
      </c>
      <c r="G18" s="44">
        <f t="shared" si="11"/>
        <v>1095</v>
      </c>
      <c r="H18" s="89">
        <v>45291</v>
      </c>
      <c r="I18" s="45">
        <f t="shared" si="12"/>
        <v>36</v>
      </c>
      <c r="J18" s="46">
        <f t="shared" si="13"/>
        <v>36</v>
      </c>
      <c r="K18" s="46">
        <f t="shared" si="14"/>
        <v>0</v>
      </c>
      <c r="L18" s="47">
        <f t="shared" si="15"/>
        <v>-2.7777777777777776E-2</v>
      </c>
      <c r="M18" s="47">
        <f t="shared" si="16"/>
        <v>0</v>
      </c>
      <c r="N18" s="101">
        <f t="shared" si="17"/>
        <v>-1</v>
      </c>
      <c r="O18" s="44"/>
      <c r="P18" s="44"/>
      <c r="Q18" s="48"/>
      <c r="R18" s="49"/>
      <c r="S18" s="49"/>
      <c r="T18" s="50"/>
      <c r="U18" s="51"/>
      <c r="V18" s="51"/>
      <c r="W18" s="52"/>
      <c r="X18" s="4"/>
    </row>
    <row r="19" spans="1:25" ht="18" hidden="1" customHeight="1" x14ac:dyDescent="0.3">
      <c r="A19" s="41"/>
      <c r="B19" s="136"/>
      <c r="C19" s="146"/>
      <c r="D19" s="43">
        <v>3</v>
      </c>
      <c r="E19" s="43">
        <v>2</v>
      </c>
      <c r="F19" s="42">
        <v>1</v>
      </c>
      <c r="G19" s="44">
        <f t="shared" si="11"/>
        <v>1095</v>
      </c>
      <c r="H19" s="89">
        <v>45291</v>
      </c>
      <c r="I19" s="45">
        <f t="shared" si="12"/>
        <v>36</v>
      </c>
      <c r="J19" s="46">
        <f t="shared" si="13"/>
        <v>36</v>
      </c>
      <c r="K19" s="46">
        <f t="shared" si="14"/>
        <v>0</v>
      </c>
      <c r="L19" s="47">
        <f t="shared" si="15"/>
        <v>-2.7777777777777776E-2</v>
      </c>
      <c r="M19" s="47">
        <f t="shared" si="16"/>
        <v>0</v>
      </c>
      <c r="N19" s="101">
        <f t="shared" si="17"/>
        <v>-1</v>
      </c>
      <c r="O19" s="44"/>
      <c r="P19" s="44"/>
      <c r="Q19" s="48"/>
      <c r="R19" s="49"/>
      <c r="S19" s="49"/>
      <c r="T19" s="50"/>
      <c r="U19" s="51"/>
      <c r="V19" s="51"/>
      <c r="W19" s="52"/>
      <c r="X19" s="4"/>
    </row>
    <row r="20" spans="1:25" ht="18" hidden="1" customHeight="1" x14ac:dyDescent="0.3">
      <c r="A20" s="41"/>
      <c r="B20" s="136"/>
      <c r="C20" s="146"/>
      <c r="D20" s="43">
        <v>3</v>
      </c>
      <c r="E20" s="43">
        <v>2</v>
      </c>
      <c r="F20" s="42">
        <v>1</v>
      </c>
      <c r="G20" s="44">
        <f t="shared" si="11"/>
        <v>1095</v>
      </c>
      <c r="H20" s="89">
        <v>45291</v>
      </c>
      <c r="I20" s="45">
        <f t="shared" si="12"/>
        <v>36</v>
      </c>
      <c r="J20" s="46">
        <f t="shared" si="13"/>
        <v>36</v>
      </c>
      <c r="K20" s="46">
        <f t="shared" si="14"/>
        <v>0</v>
      </c>
      <c r="L20" s="47">
        <f t="shared" si="15"/>
        <v>-2.7777777777777776E-2</v>
      </c>
      <c r="M20" s="47">
        <f t="shared" si="16"/>
        <v>0</v>
      </c>
      <c r="N20" s="101">
        <f t="shared" si="17"/>
        <v>-1</v>
      </c>
      <c r="O20" s="44"/>
      <c r="P20" s="44"/>
      <c r="Q20" s="48"/>
      <c r="R20" s="49"/>
      <c r="S20" s="49"/>
      <c r="T20" s="50"/>
      <c r="U20" s="51"/>
      <c r="V20" s="51"/>
      <c r="W20" s="52"/>
      <c r="X20" s="4"/>
    </row>
    <row r="21" spans="1:25" ht="18" hidden="1" customHeight="1" x14ac:dyDescent="0.3">
      <c r="A21" s="41"/>
      <c r="B21" s="136"/>
      <c r="C21" s="146"/>
      <c r="D21" s="43">
        <v>3</v>
      </c>
      <c r="E21" s="43">
        <v>2</v>
      </c>
      <c r="F21" s="42">
        <v>1</v>
      </c>
      <c r="G21" s="44">
        <f t="shared" si="11"/>
        <v>1095</v>
      </c>
      <c r="H21" s="89">
        <v>45291</v>
      </c>
      <c r="I21" s="45">
        <f t="shared" si="12"/>
        <v>36</v>
      </c>
      <c r="J21" s="46">
        <f t="shared" si="13"/>
        <v>36</v>
      </c>
      <c r="K21" s="46">
        <f t="shared" si="14"/>
        <v>0</v>
      </c>
      <c r="L21" s="47">
        <f t="shared" si="15"/>
        <v>-2.7777777777777776E-2</v>
      </c>
      <c r="M21" s="47">
        <f t="shared" si="16"/>
        <v>0</v>
      </c>
      <c r="N21" s="101">
        <f t="shared" si="17"/>
        <v>-1</v>
      </c>
      <c r="O21" s="44"/>
      <c r="P21" s="44"/>
      <c r="Q21" s="48"/>
      <c r="R21" s="49"/>
      <c r="S21" s="49"/>
      <c r="T21" s="50"/>
      <c r="U21" s="51"/>
      <c r="V21" s="51"/>
      <c r="W21" s="52"/>
      <c r="X21" s="4"/>
    </row>
    <row r="22" spans="1:25" ht="18" hidden="1" customHeight="1" x14ac:dyDescent="0.3">
      <c r="A22" s="41"/>
      <c r="B22" s="136"/>
      <c r="C22" s="146"/>
      <c r="D22" s="43">
        <v>3</v>
      </c>
      <c r="E22" s="43">
        <v>2</v>
      </c>
      <c r="F22" s="42">
        <v>1</v>
      </c>
      <c r="G22" s="44">
        <f t="shared" si="11"/>
        <v>1095</v>
      </c>
      <c r="H22" s="89">
        <v>45291</v>
      </c>
      <c r="I22" s="45">
        <f t="shared" si="12"/>
        <v>36</v>
      </c>
      <c r="J22" s="46">
        <f t="shared" si="13"/>
        <v>36</v>
      </c>
      <c r="K22" s="46">
        <f t="shared" si="14"/>
        <v>0</v>
      </c>
      <c r="L22" s="47">
        <f t="shared" si="15"/>
        <v>-2.7777777777777776E-2</v>
      </c>
      <c r="M22" s="47">
        <f t="shared" si="16"/>
        <v>0</v>
      </c>
      <c r="N22" s="101">
        <f t="shared" si="17"/>
        <v>-1</v>
      </c>
      <c r="O22" s="44"/>
      <c r="P22" s="44"/>
      <c r="Q22" s="48"/>
      <c r="R22" s="49"/>
      <c r="S22" s="49"/>
      <c r="T22" s="50"/>
      <c r="U22" s="51"/>
      <c r="V22" s="51"/>
      <c r="W22" s="52"/>
      <c r="X22" s="4"/>
    </row>
    <row r="23" spans="1:25" ht="18" hidden="1" customHeight="1" x14ac:dyDescent="0.3">
      <c r="A23" s="41"/>
      <c r="B23" s="136"/>
      <c r="C23" s="146"/>
      <c r="D23" s="43">
        <v>3</v>
      </c>
      <c r="E23" s="43">
        <v>2</v>
      </c>
      <c r="F23" s="42">
        <v>1</v>
      </c>
      <c r="G23" s="44">
        <f t="shared" si="11"/>
        <v>1095</v>
      </c>
      <c r="H23" s="89">
        <v>45291</v>
      </c>
      <c r="I23" s="45">
        <f t="shared" si="12"/>
        <v>36</v>
      </c>
      <c r="J23" s="46">
        <f t="shared" si="13"/>
        <v>36</v>
      </c>
      <c r="K23" s="46">
        <f t="shared" si="14"/>
        <v>0</v>
      </c>
      <c r="L23" s="47">
        <f t="shared" si="15"/>
        <v>-2.7777777777777776E-2</v>
      </c>
      <c r="M23" s="47">
        <f t="shared" si="16"/>
        <v>0</v>
      </c>
      <c r="N23" s="101">
        <f t="shared" si="17"/>
        <v>-1</v>
      </c>
      <c r="O23" s="44"/>
      <c r="P23" s="44"/>
      <c r="Q23" s="48"/>
      <c r="R23" s="49"/>
      <c r="S23" s="49"/>
      <c r="T23" s="50"/>
      <c r="U23" s="51"/>
      <c r="V23" s="51"/>
      <c r="W23" s="52"/>
      <c r="X23" s="4"/>
    </row>
    <row r="24" spans="1:25" ht="18" hidden="1" customHeight="1" x14ac:dyDescent="0.3">
      <c r="A24" s="41"/>
      <c r="B24" s="136"/>
      <c r="C24" s="146"/>
      <c r="D24" s="43">
        <v>3</v>
      </c>
      <c r="E24" s="43">
        <v>2</v>
      </c>
      <c r="F24" s="42">
        <v>1</v>
      </c>
      <c r="G24" s="44">
        <f t="shared" si="11"/>
        <v>1095</v>
      </c>
      <c r="H24" s="89">
        <v>45291</v>
      </c>
      <c r="I24" s="45">
        <f t="shared" si="12"/>
        <v>36</v>
      </c>
      <c r="J24" s="46">
        <f t="shared" si="13"/>
        <v>36</v>
      </c>
      <c r="K24" s="46">
        <f t="shared" si="14"/>
        <v>0</v>
      </c>
      <c r="L24" s="47">
        <f t="shared" si="15"/>
        <v>-2.7777777777777776E-2</v>
      </c>
      <c r="M24" s="47">
        <f t="shared" si="16"/>
        <v>0</v>
      </c>
      <c r="N24" s="101">
        <f t="shared" si="17"/>
        <v>-1</v>
      </c>
      <c r="O24" s="44"/>
      <c r="P24" s="44"/>
      <c r="Q24" s="48"/>
      <c r="R24" s="49"/>
      <c r="S24" s="49"/>
      <c r="T24" s="50"/>
      <c r="U24" s="51"/>
      <c r="V24" s="51"/>
      <c r="W24" s="52"/>
      <c r="X24" s="4"/>
    </row>
    <row r="25" spans="1:25" ht="18" customHeight="1" x14ac:dyDescent="0.3">
      <c r="A25" s="122"/>
      <c r="B25" s="136"/>
      <c r="C25" s="146"/>
      <c r="D25" s="43"/>
      <c r="E25" s="43"/>
      <c r="F25" s="42"/>
      <c r="G25" s="44"/>
      <c r="H25" s="89"/>
      <c r="I25" s="45"/>
      <c r="J25" s="46"/>
      <c r="K25" s="46"/>
      <c r="L25" s="47"/>
      <c r="M25" s="47"/>
      <c r="N25" s="101"/>
      <c r="O25" s="44"/>
      <c r="P25" s="44"/>
      <c r="Q25" s="48"/>
      <c r="R25" s="49"/>
      <c r="S25" s="49"/>
      <c r="T25" s="50"/>
      <c r="U25" s="51"/>
      <c r="V25" s="51"/>
      <c r="W25" s="52"/>
      <c r="X25" s="4"/>
    </row>
    <row r="26" spans="1:25" ht="18" customHeight="1" x14ac:dyDescent="0.3">
      <c r="A26" s="122"/>
      <c r="B26" s="136"/>
      <c r="C26" s="146"/>
      <c r="D26" s="43"/>
      <c r="E26" s="43"/>
      <c r="F26" s="42"/>
      <c r="G26" s="44"/>
      <c r="H26" s="89"/>
      <c r="I26" s="45"/>
      <c r="J26" s="46"/>
      <c r="K26" s="46"/>
      <c r="L26" s="47"/>
      <c r="M26" s="47"/>
      <c r="N26" s="101"/>
      <c r="O26" s="44"/>
      <c r="P26" s="44"/>
      <c r="Q26" s="48"/>
      <c r="R26" s="49"/>
      <c r="S26" s="49"/>
      <c r="T26" s="50"/>
      <c r="U26" s="51"/>
      <c r="V26" s="51"/>
      <c r="W26" s="52"/>
      <c r="X26" s="4"/>
    </row>
    <row r="27" spans="1:25" ht="18" customHeight="1" x14ac:dyDescent="0.3">
      <c r="A27" s="122"/>
      <c r="B27" s="136"/>
      <c r="C27" s="146"/>
      <c r="D27" s="43"/>
      <c r="E27" s="43"/>
      <c r="F27" s="42"/>
      <c r="G27" s="44"/>
      <c r="H27" s="89"/>
      <c r="I27" s="45"/>
      <c r="J27" s="46"/>
      <c r="K27" s="46"/>
      <c r="L27" s="47"/>
      <c r="M27" s="47"/>
      <c r="N27" s="101"/>
      <c r="O27" s="44"/>
      <c r="P27" s="44"/>
      <c r="Q27" s="48"/>
      <c r="R27" s="49"/>
      <c r="S27" s="49"/>
      <c r="T27" s="50"/>
      <c r="U27" s="51"/>
      <c r="V27" s="51"/>
      <c r="W27" s="52"/>
      <c r="X27" s="4"/>
    </row>
    <row r="28" spans="1:25" ht="18" customHeight="1" x14ac:dyDescent="0.3">
      <c r="A28" s="122"/>
      <c r="B28" s="123"/>
      <c r="C28" s="100"/>
      <c r="D28" s="43"/>
      <c r="E28" s="43"/>
      <c r="F28" s="42"/>
      <c r="G28" s="44"/>
      <c r="H28" s="89"/>
      <c r="I28" s="45"/>
      <c r="J28" s="46"/>
      <c r="K28" s="46"/>
      <c r="L28" s="47"/>
      <c r="M28" s="47"/>
      <c r="N28" s="101"/>
      <c r="O28" s="44"/>
      <c r="P28" s="44"/>
      <c r="Q28" s="48"/>
      <c r="R28" s="49"/>
      <c r="S28" s="49"/>
      <c r="T28" s="50"/>
      <c r="U28" s="51"/>
      <c r="V28" s="51"/>
      <c r="W28" s="52"/>
      <c r="X28" s="4"/>
    </row>
    <row r="29" spans="1:25" ht="18" customHeight="1" x14ac:dyDescent="0.3">
      <c r="A29" s="54" t="s">
        <v>47</v>
      </c>
      <c r="B29" s="81"/>
      <c r="C29" s="143">
        <f>SUM(C10:C28)</f>
        <v>3525</v>
      </c>
      <c r="D29" s="56"/>
      <c r="E29" s="55"/>
      <c r="F29" s="57"/>
      <c r="G29" s="58" t="s">
        <v>48</v>
      </c>
      <c r="H29" s="90"/>
      <c r="I29" s="45"/>
      <c r="J29" s="46"/>
      <c r="K29" s="46"/>
      <c r="L29" s="61">
        <f>SUM(L10:L24)</f>
        <v>97.500000000000071</v>
      </c>
      <c r="M29" s="61">
        <f>SUM(M10:M28)</f>
        <v>67.277777777777771</v>
      </c>
      <c r="N29" s="133">
        <f>SUM(N10:N28)</f>
        <v>1574.317808219178</v>
      </c>
      <c r="O29" s="48"/>
      <c r="P29" s="48"/>
      <c r="Q29" s="48"/>
      <c r="R29" s="49"/>
      <c r="S29" s="49"/>
      <c r="T29" s="49"/>
      <c r="U29" s="51"/>
      <c r="V29" s="62">
        <f>SUM(V10:V24)</f>
        <v>65.625</v>
      </c>
      <c r="W29" s="63">
        <f>SUM(W10:W24)</f>
        <v>-4803.4589041095896</v>
      </c>
      <c r="X29" s="119"/>
      <c r="Y29" s="145"/>
    </row>
    <row r="30" spans="1:25" ht="18" customHeight="1" x14ac:dyDescent="0.3">
      <c r="A30" s="43" t="s">
        <v>49</v>
      </c>
      <c r="B30" s="82"/>
      <c r="C30" s="143">
        <v>3525</v>
      </c>
      <c r="D30" s="43"/>
      <c r="E30" s="53"/>
      <c r="F30" s="42"/>
      <c r="G30" s="48"/>
      <c r="H30" s="86"/>
      <c r="I30" s="45"/>
      <c r="J30" s="64"/>
      <c r="K30" s="46"/>
      <c r="L30" s="47"/>
      <c r="M30" s="47"/>
      <c r="N30" s="134">
        <v>1574.32</v>
      </c>
      <c r="O30" s="48"/>
      <c r="P30" s="48"/>
      <c r="Q30" s="48"/>
      <c r="R30" s="49"/>
      <c r="S30" s="49"/>
      <c r="T30" s="49"/>
      <c r="U30" s="51"/>
      <c r="V30" s="51"/>
      <c r="W30" s="63">
        <v>6142.05</v>
      </c>
    </row>
    <row r="31" spans="1:25" ht="18" customHeight="1" x14ac:dyDescent="0.3">
      <c r="A31" s="126" t="s">
        <v>50</v>
      </c>
      <c r="B31" s="127"/>
      <c r="C31" s="144">
        <f>C29-C30</f>
        <v>0</v>
      </c>
      <c r="D31" s="128"/>
      <c r="E31" s="129"/>
      <c r="F31" s="130"/>
      <c r="G31" s="48"/>
      <c r="H31" s="86"/>
      <c r="I31" s="45"/>
      <c r="J31" s="64"/>
      <c r="K31" s="46"/>
      <c r="L31" s="47"/>
      <c r="M31" s="47"/>
      <c r="N31" s="135">
        <f>N29-N30</f>
        <v>-2.1917808219313883E-3</v>
      </c>
      <c r="O31" s="48"/>
      <c r="P31" s="48"/>
      <c r="Q31" s="48"/>
      <c r="R31" s="49"/>
      <c r="S31" s="49"/>
      <c r="T31" s="49"/>
      <c r="U31" s="51"/>
      <c r="V31" s="51"/>
      <c r="W31" s="63">
        <f>W29-W30</f>
        <v>-10945.508904109589</v>
      </c>
    </row>
    <row r="32" spans="1:25" ht="6.75" customHeight="1" thickBot="1" x14ac:dyDescent="0.35">
      <c r="A32" s="131"/>
      <c r="B32" s="132"/>
      <c r="C32" s="138"/>
      <c r="D32" s="139"/>
      <c r="E32" s="140"/>
      <c r="F32" s="139"/>
      <c r="G32" s="139"/>
      <c r="H32" s="139"/>
      <c r="I32" s="139"/>
      <c r="J32" s="139"/>
      <c r="K32" s="139"/>
      <c r="L32" s="141"/>
      <c r="M32" s="141"/>
      <c r="N32" s="142"/>
    </row>
    <row r="33" spans="2:5" ht="14.4" thickTop="1" x14ac:dyDescent="0.3">
      <c r="B33" s="78"/>
      <c r="C33" s="78"/>
      <c r="E33" s="78"/>
    </row>
  </sheetData>
  <mergeCells count="2">
    <mergeCell ref="C6:N6"/>
    <mergeCell ref="O6:W6"/>
  </mergeCells>
  <printOptions horizontalCentered="1"/>
  <pageMargins left="0.14000000000000001" right="0.23622047244094491" top="0.52" bottom="0.11811023622047245" header="0" footer="0"/>
  <pageSetup scale="6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depreciacion 2014 </vt:lpstr>
      <vt:lpstr>Cálculo depreciacion</vt:lpstr>
      <vt:lpstr>'Cálculo depreciacion'!Área_de_impresión</vt:lpstr>
    </vt:vector>
  </TitlesOfParts>
  <Company>HD Estudio Contable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Asistencia empresarial HD Consultores</cp:lastModifiedBy>
  <cp:lastPrinted>2024-04-30T00:46:43Z</cp:lastPrinted>
  <dcterms:created xsi:type="dcterms:W3CDTF">2015-02-21T21:15:46Z</dcterms:created>
  <dcterms:modified xsi:type="dcterms:W3CDTF">2024-12-28T02:21:58Z</dcterms:modified>
</cp:coreProperties>
</file>